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540" windowHeight="3030" tabRatio="602" activeTab="0"/>
  </bookViews>
  <sheets>
    <sheet name="2015-2016" sheetId="1" r:id="rId1"/>
  </sheets>
  <definedNames>
    <definedName name="_xlnm.Print_Titles" localSheetId="0">'2015-2016'!$5:$7</definedName>
    <definedName name="_xlnm.Print_Area" localSheetId="0">'2015-2016'!$A$1:$M$148</definedName>
  </definedNames>
  <calcPr fullCalcOnLoad="1"/>
</workbook>
</file>

<file path=xl/sharedStrings.xml><?xml version="1.0" encoding="utf-8"?>
<sst xmlns="http://schemas.openxmlformats.org/spreadsheetml/2006/main" count="163" uniqueCount="134">
  <si>
    <t>Налог на игорный бизнес</t>
  </si>
  <si>
    <t>Земельный налог</t>
  </si>
  <si>
    <t>Налог на доходы физических лиц</t>
  </si>
  <si>
    <t>Налог на добычу полезных ископаемых</t>
  </si>
  <si>
    <t>ИТОГО ДОХОДОВ</t>
  </si>
  <si>
    <t>Налог на прибыль организаций</t>
  </si>
  <si>
    <t>ИТОГО РАСХОДОВ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</si>
  <si>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</si>
  <si>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</si>
  <si>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</si>
  <si>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</si>
  <si>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Налоги на имущество физических лиц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</si>
  <si>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</si>
  <si>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</si>
  <si>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</si>
  <si>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>Платежи при пользовании недрами</t>
  </si>
  <si>
    <t>Лицензионные сборы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</si>
  <si>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</si>
  <si>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</si>
  <si>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</si>
  <si>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</si>
  <si>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ОХРАНА ОКРУЖАЮЩЕЙ СРЕДЫ </t>
  </si>
  <si>
    <t>Результат исполнения бюджета (дефицит"-".профицит "+")</t>
  </si>
  <si>
    <t>Сборы за пользование  объектами животного мира и за пользование объектами водных биологических ресурсов</t>
  </si>
  <si>
    <t>Прочие доходы от оказания платных услуг и компенсации затрат государства</t>
  </si>
  <si>
    <t>БЕЗВОЗМЕЗДНЫЕ ПОСТУПЛЕНИЯ</t>
  </si>
  <si>
    <t>Акцизы по подакцизным товарам  ( продукции), 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</si>
  <si>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</si>
  <si>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</si>
  <si>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</si>
  <si>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</si>
  <si>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НАЛОГОВЫЕ И НЕНАЛОГОВЫЕ ДОХОДЫ</t>
  </si>
  <si>
    <t>Плата за ипользование лесов</t>
  </si>
  <si>
    <t>ДОХОДЫ БЮДЖЕТОВ БЮДЖЕТНОЙ СИСТЕМЫ РОССИЙСКОЙ ФЕДЕРАЦИИ ОТ ВОЗВРАТА ОСТАТКОВ СУБСИДИЙ И СУБВЕНЦИЙ ПРОШЛЫХ ЛЕТ</t>
  </si>
  <si>
    <t>СТРАХОВЫЕ ВЗНОСЫ НА ОБЯЗАТЕЛЬНОЕ СОЦИАЛЬНОЕ СТРАХОВАНИЕ</t>
  </si>
  <si>
    <t>Средства Федерального фонда обязательного медицинского страхования, передаваемые бюджетам территориальных фондов медицинского страхования</t>
  </si>
  <si>
    <t>ФИЗИЧЕСКАЯ КУЛЬТУРА И СПОРТ</t>
  </si>
  <si>
    <t>СРЕДСТВА МАССОВОЙ ИНФОРМАЦИИ</t>
  </si>
  <si>
    <t>КУЛЬТУРА,  КИНЕМАТОГРАФИЯ</t>
  </si>
  <si>
    <t>св 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</si>
  <si>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</si>
  <si>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</si>
  <si>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</si>
  <si>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</si>
  <si>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</si>
  <si>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</si>
  <si>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</si>
  <si>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</si>
  <si>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</si>
  <si>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</si>
  <si>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</si>
  <si>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</si>
  <si>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</si>
  <si>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</si>
  <si>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</si>
  <si>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</si>
  <si>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</si>
  <si>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Коммунальное хозяйство</t>
  </si>
  <si>
    <t>Благоустройство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</si>
  <si>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</si>
  <si>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</si>
  <si>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</si>
  <si>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</si>
  <si>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</si>
  <si>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</si>
  <si>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</si>
  <si>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</si>
  <si>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</si>
  <si>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</si>
  <si>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</si>
  <si>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</si>
  <si>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</si>
  <si>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</si>
  <si>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</si>
  <si>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</si>
  <si>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</si>
  <si>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</si>
  <si>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</si>
  <si>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</si>
  <si>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</si>
  <si>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</si>
  <si>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</si>
  <si>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</si>
  <si>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</si>
  <si>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</si>
  <si>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</si>
  <si>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</si>
  <si>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</si>
  <si>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</si>
  <si>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Топливно-энергетический комплекс</t>
  </si>
  <si>
    <t>Другие вопросы в области средств массовой информации</t>
  </si>
  <si>
    <t xml:space="preserve">Исполнено на 1 апреля                           </t>
  </si>
  <si>
    <t>Исполнено на 1 июля</t>
  </si>
  <si>
    <t>2015</t>
  </si>
  <si>
    <t>Государственная пошлина, сборы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</si>
  <si>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</si>
  <si>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</si>
  <si>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</si>
  <si>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</si>
  <si>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</si>
  <si>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</si>
  <si>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И Н Ф О Р М А Ц И Я</t>
  </si>
  <si>
    <t>Исполнено на 1 октября</t>
  </si>
  <si>
    <t>Органы внутренних дел</t>
  </si>
  <si>
    <t>в 2016 году в сравнении с соответствующим периодом прошлого года</t>
  </si>
  <si>
    <t>2016</t>
  </si>
  <si>
    <t>Сбор, удаление отходов и очистка сточных вод</t>
  </si>
  <si>
    <t xml:space="preserve">                       (тыс.руб.)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</si>
  <si>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</si>
  <si>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</si>
  <si>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</si>
  <si>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</si>
  <si>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</si>
  <si>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</si>
  <si>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налогооблажения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</si>
  <si>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</si>
  <si>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</si>
  <si>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</si>
  <si>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Задолженность и перерасчёты по отменённым  налогам, сборам и иным обязательным платежам</t>
  </si>
  <si>
    <t>Прочие безвозмездные поступления в бюджеты городских округов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</si>
  <si>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</si>
  <si>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</si>
  <si>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</si>
  <si>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</si>
  <si>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 xml:space="preserve">Другие вопросы в области жилищно-коммунального хозяйства </t>
  </si>
  <si>
    <t>Молодежная политика и оздоровление детей</t>
  </si>
  <si>
    <t xml:space="preserve">Другие вопросы в области образования </t>
  </si>
  <si>
    <t xml:space="preserve">Социальное обеспечение населения </t>
  </si>
  <si>
    <t xml:space="preserve">Охрана семьи и детства   </t>
  </si>
  <si>
    <t>Другие вопросы в области национальной экономики</t>
  </si>
  <si>
    <t xml:space="preserve">Исполнено на 1 января </t>
  </si>
  <si>
    <t>%исполнения</t>
  </si>
  <si>
    <t xml:space="preserve"> об  исполнении бюджета муниципального образования Осинниковский городской округ</t>
  </si>
  <si>
    <t>св.200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</si>
</sst>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165" fontId="5" fillId="33" borderId="0" xfId="0" applyNumberFormat="1" applyFont="1" applyFill="1" applyAlignment="1">
      <alignment/>
    </xf>
    <xf numFmtId="165" fontId="5" fillId="33" borderId="18" xfId="62" applyNumberFormat="1" applyFont="1" applyFill="1" applyBorder="1" applyAlignment="1">
      <alignment/>
    </xf>
    <xf numFmtId="165" fontId="5" fillId="33" borderId="18" xfId="62" applyNumberFormat="1" applyFont="1" applyFill="1" applyBorder="1" applyAlignment="1">
      <alignment horizontal="right"/>
    </xf>
    <xf numFmtId="165" fontId="5" fillId="33" borderId="19" xfId="6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65" fontId="5" fillId="33" borderId="0" xfId="0" applyNumberFormat="1" applyFont="1" applyFill="1" applyAlignment="1">
      <alignment horizontal="right"/>
    </xf>
    <xf numFmtId="165" fontId="8" fillId="33" borderId="18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164" fontId="8" fillId="33" borderId="19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4" fontId="5" fillId="33" borderId="19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 horizontal="right"/>
    </xf>
    <xf numFmtId="165" fontId="8" fillId="33" borderId="18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 horizontal="right"/>
    </xf>
    <xf numFmtId="165" fontId="9" fillId="33" borderId="18" xfId="0" applyNumberFormat="1" applyFont="1" applyFill="1" applyBorder="1" applyAlignment="1">
      <alignment/>
    </xf>
    <xf numFmtId="165" fontId="8" fillId="33" borderId="19" xfId="62" applyNumberFormat="1" applyFont="1" applyFill="1" applyBorder="1" applyAlignment="1">
      <alignment horizontal="right"/>
    </xf>
    <xf numFmtId="165" fontId="5" fillId="33" borderId="19" xfId="0" applyNumberFormat="1" applyFont="1" applyFill="1" applyBorder="1" applyAlignment="1">
      <alignment horizontal="right"/>
    </xf>
    <xf numFmtId="165" fontId="8" fillId="33" borderId="19" xfId="0" applyNumberFormat="1" applyFont="1" applyFill="1" applyBorder="1" applyAlignment="1">
      <alignment/>
    </xf>
    <xf numFmtId="165" fontId="5" fillId="33" borderId="19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 horizontal="right" vertical="top"/>
    </xf>
    <xf numFmtId="165" fontId="9" fillId="33" borderId="20" xfId="0" applyNumberFormat="1" applyFont="1" applyFill="1" applyBorder="1" applyAlignment="1">
      <alignment/>
    </xf>
    <xf numFmtId="164" fontId="8" fillId="33" borderId="20" xfId="0" applyNumberFormat="1" applyFont="1" applyFill="1" applyBorder="1" applyAlignment="1">
      <alignment/>
    </xf>
    <xf numFmtId="165" fontId="8" fillId="33" borderId="20" xfId="0" applyNumberFormat="1" applyFont="1" applyFill="1" applyBorder="1" applyAlignment="1">
      <alignment/>
    </xf>
    <xf numFmtId="165" fontId="8" fillId="33" borderId="21" xfId="0" applyNumberFormat="1" applyFont="1" applyFill="1" applyBorder="1" applyAlignment="1">
      <alignment horizontal="right"/>
    </xf>
    <xf numFmtId="165" fontId="5" fillId="33" borderId="13" xfId="0" applyNumberFormat="1" applyFont="1" applyFill="1" applyBorder="1" applyAlignment="1">
      <alignment/>
    </xf>
    <xf numFmtId="165" fontId="5" fillId="33" borderId="22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164" fontId="5" fillId="33" borderId="22" xfId="0" applyNumberFormat="1" applyFont="1" applyFill="1" applyBorder="1" applyAlignment="1">
      <alignment/>
    </xf>
    <xf numFmtId="165" fontId="8" fillId="33" borderId="13" xfId="0" applyNumberFormat="1" applyFont="1" applyFill="1" applyBorder="1" applyAlignment="1">
      <alignment/>
    </xf>
    <xf numFmtId="165" fontId="5" fillId="33" borderId="23" xfId="0" applyNumberFormat="1" applyFont="1" applyFill="1" applyBorder="1" applyAlignment="1">
      <alignment horizontal="right"/>
    </xf>
    <xf numFmtId="165" fontId="8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5" fillId="33" borderId="24" xfId="54" applyFont="1" applyFill="1" applyBorder="1" applyAlignment="1">
      <alignment vertical="center" wrapText="1"/>
      <protection/>
    </xf>
    <xf numFmtId="0" fontId="5" fillId="33" borderId="24" xfId="0" applyFont="1" applyFill="1" applyBorder="1" applyAlignment="1">
      <alignment wrapText="1"/>
    </xf>
    <xf numFmtId="0" fontId="5" fillId="33" borderId="24" xfId="54" applyFont="1" applyFill="1" applyBorder="1" applyAlignment="1">
      <alignment vertical="top" wrapText="1"/>
      <protection/>
    </xf>
    <xf numFmtId="0" fontId="8" fillId="33" borderId="24" xfId="0" applyFont="1" applyFill="1" applyBorder="1" applyAlignment="1">
      <alignment wrapText="1"/>
    </xf>
    <xf numFmtId="49" fontId="10" fillId="33" borderId="24" xfId="53" applyNumberFormat="1" applyFont="1" applyFill="1" applyBorder="1" applyAlignment="1">
      <alignment vertical="top" wrapText="1"/>
      <protection/>
    </xf>
    <xf numFmtId="165" fontId="8" fillId="33" borderId="24" xfId="0" applyNumberFormat="1" applyFont="1" applyFill="1" applyBorder="1" applyAlignment="1">
      <alignment wrapText="1"/>
    </xf>
    <xf numFmtId="165" fontId="5" fillId="33" borderId="24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5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40.375" defaultRowHeight="12.75"/>
  <cols>
    <col min="1" max="1" width="64.625" style="1" customWidth="1"/>
    <col min="2" max="2" width="12.125" style="1" customWidth="1"/>
    <col min="3" max="3" width="12.25390625" style="1" customWidth="1"/>
    <col min="4" max="4" width="7.75390625" style="1" customWidth="1"/>
    <col min="5" max="5" width="10.375" style="1" customWidth="1"/>
    <col min="6" max="6" width="9.75390625" style="1" customWidth="1"/>
    <col min="7" max="7" width="8.25390625" style="1" customWidth="1"/>
    <col min="8" max="8" width="12.00390625" style="1" customWidth="1"/>
    <col min="9" max="9" width="11.75390625" style="1" customWidth="1"/>
    <col min="10" max="10" width="8.00390625" style="1" customWidth="1"/>
    <col min="11" max="11" width="11.625" style="1" customWidth="1"/>
    <col min="12" max="12" width="10.375" style="2" customWidth="1"/>
    <col min="13" max="13" width="7.125" style="2" customWidth="1"/>
    <col min="14" max="14" width="17.625" style="1" customWidth="1"/>
    <col min="15" max="16384" width="40.375" style="1" customWidth="1"/>
  </cols>
  <sheetData>
    <row r="1" spans="1:7" ht="15.75">
      <c r="A1" s="64" t="s">
        <v>101</v>
      </c>
      <c r="B1" s="64"/>
      <c r="C1" s="64"/>
      <c r="D1" s="64"/>
      <c r="E1" s="64"/>
      <c r="F1" s="64"/>
      <c r="G1" s="64"/>
    </row>
    <row r="2" spans="1:11" ht="15.75">
      <c r="A2" s="67" t="s">
        <v>132</v>
      </c>
      <c r="B2" s="67"/>
      <c r="C2" s="67"/>
      <c r="D2" s="67"/>
      <c r="E2" s="67"/>
      <c r="F2" s="67"/>
      <c r="G2" s="67"/>
      <c r="H2" s="67"/>
      <c r="I2" s="67"/>
      <c r="J2" s="3"/>
      <c r="K2" s="3"/>
    </row>
    <row r="3" spans="1:9" ht="15.75">
      <c r="A3" s="68" t="s">
        <v>104</v>
      </c>
      <c r="B3" s="68"/>
      <c r="C3" s="68"/>
      <c r="D3" s="68"/>
      <c r="E3" s="68"/>
      <c r="F3" s="68"/>
      <c r="G3" s="68"/>
      <c r="H3" s="68"/>
      <c r="I3" s="68"/>
    </row>
    <row r="4" spans="1:13" ht="15.75" customHeight="1" thickBot="1">
      <c r="A4" s="4"/>
      <c r="B4" s="4"/>
      <c r="C4" s="4"/>
      <c r="D4" s="5"/>
      <c r="G4" s="5"/>
      <c r="L4" s="6"/>
      <c r="M4" s="6" t="s">
        <v>107</v>
      </c>
    </row>
    <row r="5" spans="1:13" ht="15.75" thickBot="1">
      <c r="A5" s="7" t="s">
        <v>7</v>
      </c>
      <c r="B5" s="65" t="s">
        <v>91</v>
      </c>
      <c r="C5" s="66"/>
      <c r="D5" s="62" t="s">
        <v>131</v>
      </c>
      <c r="E5" s="61" t="s">
        <v>92</v>
      </c>
      <c r="F5" s="61"/>
      <c r="G5" s="62" t="s">
        <v>131</v>
      </c>
      <c r="H5" s="61" t="s">
        <v>102</v>
      </c>
      <c r="I5" s="61"/>
      <c r="J5" s="62" t="s">
        <v>131</v>
      </c>
      <c r="K5" s="61" t="s">
        <v>130</v>
      </c>
      <c r="L5" s="61"/>
      <c r="M5" s="62" t="s">
        <v>131</v>
      </c>
    </row>
    <row r="6" spans="1:13" ht="15.75" thickBot="1">
      <c r="A6" s="8"/>
      <c r="B6" s="9" t="s">
        <v>93</v>
      </c>
      <c r="C6" s="9" t="s">
        <v>105</v>
      </c>
      <c r="D6" s="63"/>
      <c r="E6" s="9" t="s">
        <v>93</v>
      </c>
      <c r="F6" s="10" t="s">
        <v>105</v>
      </c>
      <c r="G6" s="63"/>
      <c r="H6" s="9" t="s">
        <v>93</v>
      </c>
      <c r="I6" s="10" t="s">
        <v>105</v>
      </c>
      <c r="J6" s="63"/>
      <c r="K6" s="9" t="s">
        <v>93</v>
      </c>
      <c r="L6" s="10" t="s">
        <v>105</v>
      </c>
      <c r="M6" s="63"/>
    </row>
    <row r="7" spans="1:13" ht="13.5" thickBot="1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>
        <v>8</v>
      </c>
      <c r="I7" s="13">
        <v>9</v>
      </c>
      <c r="J7" s="13">
        <v>10</v>
      </c>
      <c r="K7" s="13">
        <v>11</v>
      </c>
      <c r="L7" s="13">
        <v>12</v>
      </c>
      <c r="M7" s="15">
        <v>13</v>
      </c>
    </row>
    <row r="8" spans="1:15" ht="12.75">
      <c r="A8" s="49" t="s">
        <v>31</v>
      </c>
      <c r="B8" s="23">
        <f>B9+B10+B12+B13+B14+B15+B16+B17+B18+B19+B20+B21+B22+B23+B24+B26+B27+B28+B29+B30+B33+B34+B35+B36+B25</f>
        <v>72216.79999999999</v>
      </c>
      <c r="C8" s="23">
        <f>C9+C10+C12+C13+C14+C15+C16+C17+C18+C19+C20+C21+C22+C23+C24+C26+C27+C28+C29+C30+C33+C34+C35+C36+C25</f>
        <v>66768.29999999999</v>
      </c>
      <c r="D8" s="24">
        <f>C8/B8*100</f>
        <v>92.45535664831452</v>
      </c>
      <c r="E8" s="23">
        <f>E9+E10+E12+E13+E14+E15+E16+E17+E18+E19+E20+E21+E22+E23+E24+E26+E27+E28+E29+E30+E33+E34+E35+E36+E25</f>
        <v>156381</v>
      </c>
      <c r="F8" s="23">
        <f>F9+F10+F12+F13+F14+F15+F16+F17+F18+F19+F20+F21+F22+F23+F24+F26+F27+F28+F29+F30+F33+F34+F35+F36+F25</f>
        <v>140931.7</v>
      </c>
      <c r="G8" s="23">
        <f>(F8/E8)*100</f>
        <v>90.12073077931463</v>
      </c>
      <c r="H8" s="23">
        <f>H9+H10+H12+H13+H14+H15+H16+H17+H18+H19+H20+H21+H22+H23+H24+H26+H27+H28+H29+H30+H33+H34+H35+H36+H25</f>
        <v>233875.6</v>
      </c>
      <c r="I8" s="23">
        <f>I9+I10+I12+I13+I14+I15+I16+I17+I18+I19+I20+I21+I22+I23+I24+I26+I27+I28+I29+I30+I33+I34+I35+I36+I25</f>
        <v>213908.80000000005</v>
      </c>
      <c r="J8" s="24">
        <f>I8/H8*100</f>
        <v>91.462640822728</v>
      </c>
      <c r="K8" s="23">
        <f>K9+K10+K12+K13+K14+K15+K16+K17+K18+K19+K20+K21+K22+K23+K24+K26+K27+K28+K29+K30+K33+K34+K35+K36+K25</f>
        <v>349302.4000000001</v>
      </c>
      <c r="L8" s="23">
        <f>L9+L10+L12+L13+L14+L15+L16+L17+L18+L19+L20+L21+L22+L23+L24+L26+L27+L28+L29+L30+L33+L34+L35+L36+L25</f>
        <v>305804.30000000005</v>
      </c>
      <c r="M8" s="25">
        <f>L8/K8*100</f>
        <v>87.54715112177871</v>
      </c>
      <c r="O8" s="16"/>
    </row>
    <row r="9" spans="1:13" ht="12.75" hidden="1">
      <c r="A9" s="50" t="s">
        <v>5</v>
      </c>
      <c r="B9" s="26"/>
      <c r="C9" s="26"/>
      <c r="D9" s="27" t="e">
        <f aca="true" t="shared" si="0" ref="D9:D67">C9/B9*100</f>
        <v>#DIV/0!</v>
      </c>
      <c r="E9" s="26"/>
      <c r="F9" s="26"/>
      <c r="G9" s="27" t="e">
        <f aca="true" t="shared" si="1" ref="G9:G67">F9/E9*100</f>
        <v>#DIV/0!</v>
      </c>
      <c r="H9" s="26"/>
      <c r="I9" s="26"/>
      <c r="J9" s="28"/>
      <c r="K9" s="17"/>
      <c r="L9" s="18"/>
      <c r="M9" s="19"/>
    </row>
    <row r="10" spans="1:13" ht="12.75">
      <c r="A10" s="50" t="s">
        <v>2</v>
      </c>
      <c r="B10" s="26">
        <v>40273.7</v>
      </c>
      <c r="C10" s="26">
        <v>41533.7</v>
      </c>
      <c r="D10" s="27">
        <f t="shared" si="0"/>
        <v>103.12859260509961</v>
      </c>
      <c r="E10" s="26">
        <v>82717</v>
      </c>
      <c r="F10" s="26">
        <v>84542.3</v>
      </c>
      <c r="G10" s="27">
        <f t="shared" si="1"/>
        <v>102.20668060979001</v>
      </c>
      <c r="H10" s="26">
        <v>121471.6</v>
      </c>
      <c r="I10" s="26">
        <v>126049.1</v>
      </c>
      <c r="J10" s="27">
        <f aca="true" t="shared" si="2" ref="J10:J35">I10/H10*100</f>
        <v>103.76837054916541</v>
      </c>
      <c r="K10" s="17">
        <v>170813.3</v>
      </c>
      <c r="L10" s="18">
        <v>173518.1</v>
      </c>
      <c r="M10" s="29">
        <f aca="true" t="shared" si="3" ref="M10:M35">L10/K10*100</f>
        <v>101.58348325335322</v>
      </c>
    </row>
    <row r="11" spans="1:13" ht="24" customHeight="1" hidden="1">
      <c r="A11" s="50" t="s">
        <v>34</v>
      </c>
      <c r="B11" s="26"/>
      <c r="C11" s="26"/>
      <c r="D11" s="27" t="e">
        <f t="shared" si="0"/>
        <v>#DIV/0!</v>
      </c>
      <c r="E11" s="26"/>
      <c r="F11" s="26"/>
      <c r="G11" s="27" t="e">
        <f t="shared" si="1"/>
        <v>#DIV/0!</v>
      </c>
      <c r="H11" s="26"/>
      <c r="I11" s="26"/>
      <c r="J11" s="27" t="e">
        <f t="shared" si="2"/>
        <v>#DIV/0!</v>
      </c>
      <c r="K11" s="17"/>
      <c r="L11" s="18"/>
      <c r="M11" s="29" t="e">
        <f t="shared" si="3"/>
        <v>#DIV/0!</v>
      </c>
    </row>
    <row r="12" spans="1:13" ht="25.5">
      <c r="A12" s="50" t="s">
        <v>26</v>
      </c>
      <c r="B12" s="26">
        <v>1883.4</v>
      </c>
      <c r="C12" s="26">
        <v>1926.4</v>
      </c>
      <c r="D12" s="27">
        <f t="shared" si="0"/>
        <v>102.28310502283105</v>
      </c>
      <c r="E12" s="26">
        <v>3287.8</v>
      </c>
      <c r="F12" s="26">
        <v>4463.4</v>
      </c>
      <c r="G12" s="27">
        <f t="shared" si="1"/>
        <v>135.7564328730458</v>
      </c>
      <c r="H12" s="26">
        <v>5107.9</v>
      </c>
      <c r="I12" s="26">
        <v>7284.4</v>
      </c>
      <c r="J12" s="27">
        <f t="shared" si="2"/>
        <v>142.61046614068405</v>
      </c>
      <c r="K12" s="17">
        <v>6785.6</v>
      </c>
      <c r="L12" s="18">
        <v>9915</v>
      </c>
      <c r="M12" s="29">
        <f t="shared" si="3"/>
        <v>146.11825041263853</v>
      </c>
    </row>
    <row r="13" spans="1:13" s="20" customFormat="1" ht="16.5" customHeight="1" hidden="1">
      <c r="A13" s="50" t="s">
        <v>114</v>
      </c>
      <c r="B13" s="26"/>
      <c r="C13" s="26"/>
      <c r="D13" s="27" t="e">
        <f t="shared" si="0"/>
        <v>#DIV/0!</v>
      </c>
      <c r="E13" s="26"/>
      <c r="F13" s="26"/>
      <c r="G13" s="27" t="e">
        <f t="shared" si="1"/>
        <v>#DIV/0!</v>
      </c>
      <c r="H13" s="26"/>
      <c r="I13" s="26"/>
      <c r="J13" s="27" t="e">
        <f t="shared" si="2"/>
        <v>#DIV/0!</v>
      </c>
      <c r="K13" s="17"/>
      <c r="L13" s="18"/>
      <c r="M13" s="29" t="e">
        <f t="shared" si="3"/>
        <v>#DIV/0!</v>
      </c>
    </row>
    <row r="14" spans="1:13" s="20" customFormat="1" ht="12.75">
      <c r="A14" s="50" t="s">
        <v>115</v>
      </c>
      <c r="B14" s="26">
        <v>7651.7</v>
      </c>
      <c r="C14" s="26">
        <v>7006</v>
      </c>
      <c r="D14" s="27">
        <f t="shared" si="0"/>
        <v>91.56135237920985</v>
      </c>
      <c r="E14" s="26">
        <v>16233.1</v>
      </c>
      <c r="F14" s="26">
        <v>14430.1</v>
      </c>
      <c r="G14" s="27">
        <f t="shared" si="1"/>
        <v>88.8930641713536</v>
      </c>
      <c r="H14" s="26">
        <v>24318.9</v>
      </c>
      <c r="I14" s="26">
        <v>21546.5</v>
      </c>
      <c r="J14" s="27">
        <f t="shared" si="2"/>
        <v>88.59981331392456</v>
      </c>
      <c r="K14" s="17">
        <v>32435.5</v>
      </c>
      <c r="L14" s="18">
        <v>28334</v>
      </c>
      <c r="M14" s="29">
        <f t="shared" si="3"/>
        <v>87.35490434863036</v>
      </c>
    </row>
    <row r="15" spans="1:13" s="20" customFormat="1" ht="12.75">
      <c r="A15" s="50" t="s">
        <v>116</v>
      </c>
      <c r="B15" s="26"/>
      <c r="C15" s="26"/>
      <c r="D15" s="27"/>
      <c r="E15" s="26">
        <v>18.9</v>
      </c>
      <c r="F15" s="26">
        <v>-13.4</v>
      </c>
      <c r="G15" s="27">
        <f>(F15/E15)*100</f>
        <v>-70.89947089947091</v>
      </c>
      <c r="H15" s="26">
        <v>67.4</v>
      </c>
      <c r="I15" s="26">
        <v>-9.9</v>
      </c>
      <c r="J15" s="27">
        <f t="shared" si="2"/>
        <v>-14.688427299703264</v>
      </c>
      <c r="K15" s="17">
        <v>67.5</v>
      </c>
      <c r="L15" s="18">
        <v>-9.2</v>
      </c>
      <c r="M15" s="29">
        <f t="shared" si="3"/>
        <v>-13.629629629629628</v>
      </c>
    </row>
    <row r="16" spans="1:13" s="20" customFormat="1" ht="25.5">
      <c r="A16" s="50" t="s">
        <v>117</v>
      </c>
      <c r="B16" s="26">
        <v>30</v>
      </c>
      <c r="C16" s="26">
        <v>45.5</v>
      </c>
      <c r="D16" s="27">
        <f t="shared" si="0"/>
        <v>151.66666666666666</v>
      </c>
      <c r="E16" s="26">
        <v>49.4</v>
      </c>
      <c r="F16" s="26">
        <v>85.1</v>
      </c>
      <c r="G16" s="27">
        <f t="shared" si="1"/>
        <v>172.2672064777328</v>
      </c>
      <c r="H16" s="26">
        <v>70.5</v>
      </c>
      <c r="I16" s="26">
        <v>92.8</v>
      </c>
      <c r="J16" s="27">
        <f t="shared" si="2"/>
        <v>131.63120567375884</v>
      </c>
      <c r="K16" s="17">
        <v>83.7</v>
      </c>
      <c r="L16" s="18">
        <v>143.8</v>
      </c>
      <c r="M16" s="29">
        <f t="shared" si="3"/>
        <v>171.80406212664278</v>
      </c>
    </row>
    <row r="17" spans="1:13" ht="13.5" customHeight="1">
      <c r="A17" s="50" t="s">
        <v>11</v>
      </c>
      <c r="B17" s="26">
        <v>85.4</v>
      </c>
      <c r="C17" s="26">
        <v>53.3</v>
      </c>
      <c r="D17" s="27">
        <f t="shared" si="0"/>
        <v>62.41217798594847</v>
      </c>
      <c r="E17" s="26">
        <v>424</v>
      </c>
      <c r="F17" s="26">
        <v>112.9</v>
      </c>
      <c r="G17" s="27">
        <f t="shared" si="1"/>
        <v>26.62735849056604</v>
      </c>
      <c r="H17" s="26">
        <v>1071.5</v>
      </c>
      <c r="I17" s="26">
        <v>261.7</v>
      </c>
      <c r="J17" s="27">
        <f t="shared" si="2"/>
        <v>24.423705086327576</v>
      </c>
      <c r="K17" s="17">
        <v>1728.1</v>
      </c>
      <c r="L17" s="18">
        <v>2075.2</v>
      </c>
      <c r="M17" s="29">
        <f t="shared" si="3"/>
        <v>120.0856431919449</v>
      </c>
    </row>
    <row r="18" spans="1:13" ht="12.75" hidden="1">
      <c r="A18" s="50" t="s">
        <v>12</v>
      </c>
      <c r="B18" s="26"/>
      <c r="C18" s="26"/>
      <c r="D18" s="27" t="e">
        <f t="shared" si="0"/>
        <v>#DIV/0!</v>
      </c>
      <c r="E18" s="26"/>
      <c r="F18" s="26"/>
      <c r="G18" s="27" t="e">
        <f t="shared" si="1"/>
        <v>#DIV/0!</v>
      </c>
      <c r="H18" s="26"/>
      <c r="I18" s="26"/>
      <c r="J18" s="27" t="e">
        <f t="shared" si="2"/>
        <v>#DIV/0!</v>
      </c>
      <c r="K18" s="17"/>
      <c r="L18" s="18"/>
      <c r="M18" s="29" t="e">
        <f t="shared" si="3"/>
        <v>#DIV/0!</v>
      </c>
    </row>
    <row r="19" spans="1:13" ht="12" customHeight="1">
      <c r="A19" s="50" t="s">
        <v>13</v>
      </c>
      <c r="B19" s="26">
        <v>156.2</v>
      </c>
      <c r="C19" s="26">
        <v>121</v>
      </c>
      <c r="D19" s="27">
        <f t="shared" si="0"/>
        <v>77.46478873239437</v>
      </c>
      <c r="E19" s="26">
        <v>436</v>
      </c>
      <c r="F19" s="26">
        <v>245.4</v>
      </c>
      <c r="G19" s="27">
        <f t="shared" si="1"/>
        <v>56.28440366972477</v>
      </c>
      <c r="H19" s="26">
        <v>901.2</v>
      </c>
      <c r="I19" s="26">
        <v>378.3</v>
      </c>
      <c r="J19" s="27">
        <f t="shared" si="2"/>
        <v>41.977363515312916</v>
      </c>
      <c r="K19" s="17">
        <v>1351.3</v>
      </c>
      <c r="L19" s="18">
        <v>1230.2</v>
      </c>
      <c r="M19" s="29">
        <f t="shared" si="3"/>
        <v>91.03825945385925</v>
      </c>
    </row>
    <row r="20" spans="1:13" ht="12.75" hidden="1">
      <c r="A20" s="50" t="s">
        <v>0</v>
      </c>
      <c r="B20" s="26"/>
      <c r="C20" s="26"/>
      <c r="D20" s="27" t="e">
        <f t="shared" si="0"/>
        <v>#DIV/0!</v>
      </c>
      <c r="E20" s="26"/>
      <c r="F20" s="26"/>
      <c r="G20" s="27" t="e">
        <f t="shared" si="1"/>
        <v>#DIV/0!</v>
      </c>
      <c r="H20" s="26"/>
      <c r="I20" s="26"/>
      <c r="J20" s="27" t="e">
        <f t="shared" si="2"/>
        <v>#DIV/0!</v>
      </c>
      <c r="K20" s="17"/>
      <c r="L20" s="18"/>
      <c r="M20" s="29" t="e">
        <f t="shared" si="3"/>
        <v>#DIV/0!</v>
      </c>
    </row>
    <row r="21" spans="1:13" ht="12" customHeight="1">
      <c r="A21" s="50" t="s">
        <v>1</v>
      </c>
      <c r="B21" s="26">
        <v>6027.8</v>
      </c>
      <c r="C21" s="26">
        <v>2234.2</v>
      </c>
      <c r="D21" s="27">
        <f t="shared" si="0"/>
        <v>37.06493247951159</v>
      </c>
      <c r="E21" s="26">
        <v>12890.7</v>
      </c>
      <c r="F21" s="26">
        <v>10210.2</v>
      </c>
      <c r="G21" s="27">
        <f t="shared" si="1"/>
        <v>79.20593916544486</v>
      </c>
      <c r="H21" s="26">
        <v>20354.4</v>
      </c>
      <c r="I21" s="26">
        <v>17574.7</v>
      </c>
      <c r="J21" s="27">
        <f t="shared" si="2"/>
        <v>86.34349329874621</v>
      </c>
      <c r="K21" s="17">
        <v>26060.2</v>
      </c>
      <c r="L21" s="18">
        <v>27374.8</v>
      </c>
      <c r="M21" s="29">
        <f t="shared" si="3"/>
        <v>105.04447394878014</v>
      </c>
    </row>
    <row r="22" spans="1:13" ht="12.75" hidden="1">
      <c r="A22" s="50" t="s">
        <v>3</v>
      </c>
      <c r="B22" s="26"/>
      <c r="C22" s="26"/>
      <c r="D22" s="27" t="e">
        <f t="shared" si="0"/>
        <v>#DIV/0!</v>
      </c>
      <c r="E22" s="26"/>
      <c r="F22" s="26"/>
      <c r="G22" s="27" t="e">
        <f t="shared" si="1"/>
        <v>#DIV/0!</v>
      </c>
      <c r="H22" s="26"/>
      <c r="I22" s="26"/>
      <c r="J22" s="27" t="e">
        <f t="shared" si="2"/>
        <v>#DIV/0!</v>
      </c>
      <c r="K22" s="17"/>
      <c r="L22" s="18"/>
      <c r="M22" s="29" t="e">
        <f t="shared" si="3"/>
        <v>#DIV/0!</v>
      </c>
    </row>
    <row r="23" spans="1:13" ht="25.5" hidden="1">
      <c r="A23" s="50" t="s">
        <v>23</v>
      </c>
      <c r="B23" s="26"/>
      <c r="C23" s="26"/>
      <c r="D23" s="27" t="e">
        <f t="shared" si="0"/>
        <v>#DIV/0!</v>
      </c>
      <c r="E23" s="26"/>
      <c r="F23" s="26"/>
      <c r="G23" s="27" t="e">
        <f t="shared" si="1"/>
        <v>#DIV/0!</v>
      </c>
      <c r="H23" s="26"/>
      <c r="I23" s="26"/>
      <c r="J23" s="27" t="e">
        <f t="shared" si="2"/>
        <v>#DIV/0!</v>
      </c>
      <c r="K23" s="17"/>
      <c r="L23" s="18"/>
      <c r="M23" s="29" t="e">
        <f t="shared" si="3"/>
        <v>#DIV/0!</v>
      </c>
    </row>
    <row r="24" spans="1:13" s="20" customFormat="1" ht="15" customHeight="1">
      <c r="A24" s="50" t="s">
        <v>94</v>
      </c>
      <c r="B24" s="26">
        <v>2117.6</v>
      </c>
      <c r="C24" s="26">
        <v>1876.8</v>
      </c>
      <c r="D24" s="26">
        <f t="shared" si="0"/>
        <v>88.62863619191538</v>
      </c>
      <c r="E24" s="26">
        <v>4131.7</v>
      </c>
      <c r="F24" s="26">
        <v>3998.8</v>
      </c>
      <c r="G24" s="26">
        <f t="shared" si="1"/>
        <v>96.78340634605611</v>
      </c>
      <c r="H24" s="26">
        <v>5954.2</v>
      </c>
      <c r="I24" s="26">
        <v>6197.1</v>
      </c>
      <c r="J24" s="27">
        <f t="shared" si="2"/>
        <v>104.07947331295557</v>
      </c>
      <c r="K24" s="17">
        <v>8218.2</v>
      </c>
      <c r="L24" s="18">
        <v>9015.7</v>
      </c>
      <c r="M24" s="29">
        <f t="shared" si="3"/>
        <v>109.70407145116936</v>
      </c>
    </row>
    <row r="25" spans="1:13" s="20" customFormat="1" ht="25.5" customHeight="1" hidden="1">
      <c r="A25" s="50" t="s">
        <v>118</v>
      </c>
      <c r="B25" s="26"/>
      <c r="C25" s="26"/>
      <c r="D25" s="26" t="e">
        <f t="shared" si="0"/>
        <v>#DIV/0!</v>
      </c>
      <c r="E25" s="26"/>
      <c r="F25" s="26"/>
      <c r="G25" s="26" t="e">
        <f t="shared" si="1"/>
        <v>#DIV/0!</v>
      </c>
      <c r="H25" s="23"/>
      <c r="I25" s="26"/>
      <c r="J25" s="27" t="e">
        <f t="shared" si="2"/>
        <v>#DIV/0!</v>
      </c>
      <c r="K25" s="17"/>
      <c r="L25" s="18"/>
      <c r="M25" s="29" t="e">
        <f t="shared" si="3"/>
        <v>#DIV/0!</v>
      </c>
    </row>
    <row r="26" spans="1:13" s="20" customFormat="1" ht="25.5">
      <c r="A26" s="50" t="s">
        <v>95</v>
      </c>
      <c r="B26" s="26">
        <v>9886.5</v>
      </c>
      <c r="C26" s="26">
        <v>6955.9</v>
      </c>
      <c r="D26" s="26">
        <f t="shared" si="0"/>
        <v>70.35755828655238</v>
      </c>
      <c r="E26" s="26">
        <v>25461.7</v>
      </c>
      <c r="F26" s="26">
        <v>14973.3</v>
      </c>
      <c r="G26" s="26">
        <f t="shared" si="1"/>
        <v>58.807149561890995</v>
      </c>
      <c r="H26" s="26">
        <v>39402.6</v>
      </c>
      <c r="I26" s="26">
        <v>23281.7</v>
      </c>
      <c r="J26" s="27">
        <f t="shared" si="2"/>
        <v>59.086710014059996</v>
      </c>
      <c r="K26" s="17">
        <v>77023</v>
      </c>
      <c r="L26" s="18">
        <v>39793.1</v>
      </c>
      <c r="M26" s="29">
        <f t="shared" si="3"/>
        <v>51.663918569777856</v>
      </c>
    </row>
    <row r="27" spans="1:13" ht="12.75">
      <c r="A27" s="50" t="s">
        <v>14</v>
      </c>
      <c r="B27" s="26">
        <v>267.1</v>
      </c>
      <c r="C27" s="26">
        <v>2289.8</v>
      </c>
      <c r="D27" s="26" t="s">
        <v>133</v>
      </c>
      <c r="E27" s="26">
        <v>637.4</v>
      </c>
      <c r="F27" s="26">
        <v>2960</v>
      </c>
      <c r="G27" s="26" t="s">
        <v>133</v>
      </c>
      <c r="H27" s="26">
        <v>1120.1</v>
      </c>
      <c r="I27" s="26">
        <v>4377.9</v>
      </c>
      <c r="J27" s="27" t="s">
        <v>133</v>
      </c>
      <c r="K27" s="17">
        <v>1541.4</v>
      </c>
      <c r="L27" s="18">
        <v>5208.5</v>
      </c>
      <c r="M27" s="29" t="s">
        <v>133</v>
      </c>
    </row>
    <row r="28" spans="1:13" ht="12.75" hidden="1">
      <c r="A28" s="50" t="s">
        <v>15</v>
      </c>
      <c r="B28" s="26"/>
      <c r="C28" s="26"/>
      <c r="D28" s="30" t="s">
        <v>39</v>
      </c>
      <c r="E28" s="26"/>
      <c r="F28" s="26"/>
      <c r="G28" s="30" t="s">
        <v>39</v>
      </c>
      <c r="H28" s="26"/>
      <c r="I28" s="26"/>
      <c r="J28" s="27" t="e">
        <f t="shared" si="2"/>
        <v>#DIV/0!</v>
      </c>
      <c r="K28" s="17"/>
      <c r="L28" s="18"/>
      <c r="M28" s="29" t="e">
        <f t="shared" si="3"/>
        <v>#DIV/0!</v>
      </c>
    </row>
    <row r="29" spans="1:13" ht="12.75" hidden="1">
      <c r="A29" s="50" t="s">
        <v>32</v>
      </c>
      <c r="B29" s="26"/>
      <c r="C29" s="26"/>
      <c r="D29" s="26" t="e">
        <f t="shared" si="0"/>
        <v>#DIV/0!</v>
      </c>
      <c r="E29" s="26"/>
      <c r="F29" s="26"/>
      <c r="G29" s="26" t="e">
        <f t="shared" si="1"/>
        <v>#DIV/0!</v>
      </c>
      <c r="H29" s="26"/>
      <c r="I29" s="26"/>
      <c r="J29" s="27" t="e">
        <f t="shared" si="2"/>
        <v>#DIV/0!</v>
      </c>
      <c r="K29" s="17"/>
      <c r="L29" s="18"/>
      <c r="M29" s="29" t="e">
        <f t="shared" si="3"/>
        <v>#DIV/0!</v>
      </c>
    </row>
    <row r="30" spans="1:13" s="20" customFormat="1" ht="12.75">
      <c r="A30" s="50" t="s">
        <v>96</v>
      </c>
      <c r="B30" s="26">
        <v>332.2</v>
      </c>
      <c r="C30" s="26">
        <v>389.6</v>
      </c>
      <c r="D30" s="26">
        <f t="shared" si="0"/>
        <v>117.27874774232392</v>
      </c>
      <c r="E30" s="26">
        <v>585.9</v>
      </c>
      <c r="F30" s="26">
        <v>411.4</v>
      </c>
      <c r="G30" s="26">
        <f t="shared" si="1"/>
        <v>70.21676053934118</v>
      </c>
      <c r="H30" s="26">
        <v>1551.3</v>
      </c>
      <c r="I30" s="26">
        <v>492.2</v>
      </c>
      <c r="J30" s="27">
        <f t="shared" si="2"/>
        <v>31.728227937858573</v>
      </c>
      <c r="K30" s="17">
        <v>2780.5</v>
      </c>
      <c r="L30" s="18">
        <v>598.9</v>
      </c>
      <c r="M30" s="29">
        <f t="shared" si="3"/>
        <v>21.53929149433555</v>
      </c>
    </row>
    <row r="31" spans="1:13" s="20" customFormat="1" ht="12.75" customHeight="1" hidden="1">
      <c r="A31" s="50" t="s">
        <v>16</v>
      </c>
      <c r="B31" s="26"/>
      <c r="C31" s="26"/>
      <c r="D31" s="26" t="e">
        <f t="shared" si="0"/>
        <v>#DIV/0!</v>
      </c>
      <c r="E31" s="26"/>
      <c r="F31" s="26"/>
      <c r="G31" s="26" t="e">
        <f t="shared" si="1"/>
        <v>#DIV/0!</v>
      </c>
      <c r="H31" s="26"/>
      <c r="I31" s="26"/>
      <c r="J31" s="27" t="e">
        <f t="shared" si="2"/>
        <v>#DIV/0!</v>
      </c>
      <c r="K31" s="17"/>
      <c r="L31" s="18"/>
      <c r="M31" s="29" t="e">
        <f t="shared" si="3"/>
        <v>#DIV/0!</v>
      </c>
    </row>
    <row r="32" spans="1:13" s="20" customFormat="1" ht="24" customHeight="1" hidden="1">
      <c r="A32" s="50" t="s">
        <v>24</v>
      </c>
      <c r="B32" s="26"/>
      <c r="C32" s="26"/>
      <c r="D32" s="26" t="e">
        <f t="shared" si="0"/>
        <v>#DIV/0!</v>
      </c>
      <c r="E32" s="26"/>
      <c r="F32" s="26"/>
      <c r="G32" s="26" t="e">
        <f t="shared" si="1"/>
        <v>#DIV/0!</v>
      </c>
      <c r="H32" s="26"/>
      <c r="I32" s="26"/>
      <c r="J32" s="27" t="e">
        <f t="shared" si="2"/>
        <v>#DIV/0!</v>
      </c>
      <c r="K32" s="17"/>
      <c r="L32" s="18"/>
      <c r="M32" s="29" t="e">
        <f t="shared" si="3"/>
        <v>#DIV/0!</v>
      </c>
    </row>
    <row r="33" spans="1:13" s="20" customFormat="1" ht="12.75">
      <c r="A33" s="50" t="s">
        <v>97</v>
      </c>
      <c r="B33" s="26">
        <v>2598.6</v>
      </c>
      <c r="C33" s="26">
        <v>961.7</v>
      </c>
      <c r="D33" s="26">
        <f t="shared" si="0"/>
        <v>37.00838913260987</v>
      </c>
      <c r="E33" s="26">
        <v>6875.2</v>
      </c>
      <c r="F33" s="26">
        <v>1615.6</v>
      </c>
      <c r="G33" s="26">
        <f t="shared" si="1"/>
        <v>23.498952757737957</v>
      </c>
      <c r="H33" s="26">
        <v>7898.7</v>
      </c>
      <c r="I33" s="26">
        <v>2168.6</v>
      </c>
      <c r="J33" s="27">
        <f t="shared" si="2"/>
        <v>27.455150847607833</v>
      </c>
      <c r="K33" s="17">
        <v>14483.4</v>
      </c>
      <c r="L33" s="18">
        <v>3225.5</v>
      </c>
      <c r="M33" s="29">
        <f t="shared" si="3"/>
        <v>22.27032326663629</v>
      </c>
    </row>
    <row r="34" spans="1:13" s="20" customFormat="1" ht="16.5" customHeight="1" hidden="1">
      <c r="A34" s="50" t="s">
        <v>98</v>
      </c>
      <c r="B34" s="26"/>
      <c r="C34" s="26"/>
      <c r="D34" s="26" t="e">
        <f t="shared" si="0"/>
        <v>#DIV/0!</v>
      </c>
      <c r="E34" s="26"/>
      <c r="F34" s="26"/>
      <c r="G34" s="26" t="e">
        <f t="shared" si="1"/>
        <v>#DIV/0!</v>
      </c>
      <c r="H34" s="26"/>
      <c r="I34" s="26"/>
      <c r="J34" s="27" t="e">
        <f t="shared" si="2"/>
        <v>#DIV/0!</v>
      </c>
      <c r="K34" s="17"/>
      <c r="L34" s="18"/>
      <c r="M34" s="29" t="e">
        <f t="shared" si="3"/>
        <v>#DIV/0!</v>
      </c>
    </row>
    <row r="35" spans="1:13" s="20" customFormat="1" ht="12.75">
      <c r="A35" s="50" t="s">
        <v>99</v>
      </c>
      <c r="B35" s="26">
        <v>907.2</v>
      </c>
      <c r="C35" s="26">
        <v>1376.5</v>
      </c>
      <c r="D35" s="26">
        <f t="shared" si="0"/>
        <v>151.7305996472663</v>
      </c>
      <c r="E35" s="26">
        <v>2628</v>
      </c>
      <c r="F35" s="26">
        <v>2860.6</v>
      </c>
      <c r="G35" s="26">
        <f t="shared" si="1"/>
        <v>108.85083713850835</v>
      </c>
      <c r="H35" s="26">
        <v>4584.9</v>
      </c>
      <c r="I35" s="26">
        <v>3888</v>
      </c>
      <c r="J35" s="27">
        <f t="shared" si="2"/>
        <v>84.80010469148728</v>
      </c>
      <c r="K35" s="17">
        <v>5929.7</v>
      </c>
      <c r="L35" s="18">
        <v>4843.3</v>
      </c>
      <c r="M35" s="29">
        <f t="shared" si="3"/>
        <v>81.67866839806399</v>
      </c>
    </row>
    <row r="36" spans="1:13" s="20" customFormat="1" ht="12.75">
      <c r="A36" s="50" t="s">
        <v>100</v>
      </c>
      <c r="B36" s="26">
        <v>-0.6</v>
      </c>
      <c r="C36" s="26">
        <v>-2.1</v>
      </c>
      <c r="D36" s="26" t="s">
        <v>133</v>
      </c>
      <c r="E36" s="26">
        <v>4.2</v>
      </c>
      <c r="F36" s="26">
        <v>36</v>
      </c>
      <c r="G36" s="26" t="s">
        <v>133</v>
      </c>
      <c r="H36" s="26">
        <v>0.4</v>
      </c>
      <c r="I36" s="26">
        <v>325.7</v>
      </c>
      <c r="J36" s="27" t="s">
        <v>133</v>
      </c>
      <c r="K36" s="17">
        <v>1</v>
      </c>
      <c r="L36" s="18">
        <v>537.4</v>
      </c>
      <c r="M36" s="29" t="s">
        <v>133</v>
      </c>
    </row>
    <row r="37" spans="1:13" ht="36" customHeight="1" hidden="1">
      <c r="A37" s="51" t="s">
        <v>33</v>
      </c>
      <c r="B37" s="26"/>
      <c r="C37" s="26"/>
      <c r="D37" s="26" t="e">
        <f t="shared" si="0"/>
        <v>#DIV/0!</v>
      </c>
      <c r="E37" s="26"/>
      <c r="F37" s="26"/>
      <c r="G37" s="26" t="e">
        <f t="shared" si="1"/>
        <v>#DIV/0!</v>
      </c>
      <c r="H37" s="23"/>
      <c r="I37" s="23"/>
      <c r="J37" s="31"/>
      <c r="K37" s="17"/>
      <c r="L37" s="18"/>
      <c r="M37" s="19"/>
    </row>
    <row r="38" spans="1:13" ht="12.75">
      <c r="A38" s="49" t="s">
        <v>25</v>
      </c>
      <c r="B38" s="23">
        <f>B39+B46+B47+B48+B49+B50+B44</f>
        <v>272581.80000000005</v>
      </c>
      <c r="C38" s="23">
        <f>C39+C46+C47+C48+C49+C50+C44</f>
        <v>206152.59999999998</v>
      </c>
      <c r="D38" s="23">
        <f t="shared" si="0"/>
        <v>75.62962750998047</v>
      </c>
      <c r="E38" s="23">
        <f>E39+E46+E47+E48+E49+E50+E44</f>
        <v>564622.1000000001</v>
      </c>
      <c r="F38" s="23">
        <f>F39+F46+F47+F48+F49+F50+F44</f>
        <v>502700.2</v>
      </c>
      <c r="G38" s="23">
        <f t="shared" si="1"/>
        <v>89.03303643268656</v>
      </c>
      <c r="H38" s="23">
        <f>H39+H46+H47+H48+H49+H50+H44</f>
        <v>775169</v>
      </c>
      <c r="I38" s="23">
        <f>I39+I46+I47+I48+I49+I50+I44</f>
        <v>776167.1</v>
      </c>
      <c r="J38" s="24">
        <f>I38/H38*100</f>
        <v>100.12875901900102</v>
      </c>
      <c r="K38" s="23">
        <f>K39+K46+K47+K48+K49+K50+K44</f>
        <v>1303750.9</v>
      </c>
      <c r="L38" s="23">
        <f>L39+L46+L47+L48+L49+L50+L44</f>
        <v>1041691.2000000001</v>
      </c>
      <c r="M38" s="25">
        <f>L38/K38*100</f>
        <v>79.89955749982609</v>
      </c>
    </row>
    <row r="39" spans="1:13" ht="25.5">
      <c r="A39" s="52" t="s">
        <v>113</v>
      </c>
      <c r="B39" s="26">
        <f>B40+B41+B42+B43</f>
        <v>272857.60000000003</v>
      </c>
      <c r="C39" s="26">
        <f>C40+C41+C42+C43</f>
        <v>260845.8</v>
      </c>
      <c r="D39" s="27">
        <f t="shared" si="0"/>
        <v>95.59777700895997</v>
      </c>
      <c r="E39" s="26">
        <f>E40+E41+E42+E43</f>
        <v>564766.6000000001</v>
      </c>
      <c r="F39" s="26">
        <f>F40+F41+F42+F43</f>
        <v>557235.5</v>
      </c>
      <c r="G39" s="27">
        <f t="shared" si="1"/>
        <v>98.66651108617258</v>
      </c>
      <c r="H39" s="26">
        <f>H40+H41+H42+H43</f>
        <v>774085.2999999999</v>
      </c>
      <c r="I39" s="26">
        <f>I40+I41+I42+I43</f>
        <v>830748.1</v>
      </c>
      <c r="J39" s="27">
        <f aca="true" t="shared" si="4" ref="J39:J49">I39/H39*100</f>
        <v>107.31996848409342</v>
      </c>
      <c r="K39" s="26">
        <f>K40+K41+K42+K43</f>
        <v>1301436.4</v>
      </c>
      <c r="L39" s="26">
        <f>L40+L41+L42+L43</f>
        <v>1096191</v>
      </c>
      <c r="M39" s="29">
        <f aca="true" t="shared" si="5" ref="M39:M49">L39/K39*100</f>
        <v>84.22931769850605</v>
      </c>
    </row>
    <row r="40" spans="1:13" ht="25.5">
      <c r="A40" s="50" t="s">
        <v>27</v>
      </c>
      <c r="B40" s="26">
        <v>78789.4</v>
      </c>
      <c r="C40" s="26">
        <v>60209</v>
      </c>
      <c r="D40" s="27">
        <f t="shared" si="0"/>
        <v>76.41763993633663</v>
      </c>
      <c r="E40" s="26">
        <v>127860</v>
      </c>
      <c r="F40" s="26">
        <v>133407.4</v>
      </c>
      <c r="G40" s="27">
        <f t="shared" si="1"/>
        <v>104.33865165024245</v>
      </c>
      <c r="H40" s="26">
        <v>127860</v>
      </c>
      <c r="I40" s="26">
        <v>210017.8</v>
      </c>
      <c r="J40" s="27">
        <f t="shared" si="4"/>
        <v>164.25606131706553</v>
      </c>
      <c r="K40" s="17">
        <v>335609</v>
      </c>
      <c r="L40" s="18">
        <v>276689</v>
      </c>
      <c r="M40" s="29">
        <f t="shared" si="5"/>
        <v>82.44385579647745</v>
      </c>
    </row>
    <row r="41" spans="1:13" ht="25.5">
      <c r="A41" s="50" t="s">
        <v>28</v>
      </c>
      <c r="B41" s="26">
        <v>2852.1</v>
      </c>
      <c r="C41" s="26">
        <v>4777.5</v>
      </c>
      <c r="D41" s="27">
        <f t="shared" si="0"/>
        <v>167.50815188808247</v>
      </c>
      <c r="E41" s="26">
        <v>21087.5</v>
      </c>
      <c r="F41" s="26">
        <v>6073.1</v>
      </c>
      <c r="G41" s="27">
        <f t="shared" si="1"/>
        <v>28.799525785417902</v>
      </c>
      <c r="H41" s="26">
        <v>23655.7</v>
      </c>
      <c r="I41" s="26">
        <v>37302.3</v>
      </c>
      <c r="J41" s="27">
        <f t="shared" si="4"/>
        <v>157.68842181799735</v>
      </c>
      <c r="K41" s="17">
        <v>43711.3</v>
      </c>
      <c r="L41" s="18">
        <v>46410.2</v>
      </c>
      <c r="M41" s="29">
        <f t="shared" si="5"/>
        <v>106.17437596227977</v>
      </c>
    </row>
    <row r="42" spans="1:13" ht="25.5">
      <c r="A42" s="53" t="s">
        <v>29</v>
      </c>
      <c r="B42" s="26">
        <v>189409.9</v>
      </c>
      <c r="C42" s="26">
        <v>195859.3</v>
      </c>
      <c r="D42" s="27">
        <f t="shared" si="0"/>
        <v>103.40499625415566</v>
      </c>
      <c r="E42" s="26">
        <v>406121.3</v>
      </c>
      <c r="F42" s="26">
        <v>415305</v>
      </c>
      <c r="G42" s="27">
        <f t="shared" si="1"/>
        <v>102.26131946292894</v>
      </c>
      <c r="H42" s="26">
        <v>585483.2</v>
      </c>
      <c r="I42" s="26">
        <v>579359</v>
      </c>
      <c r="J42" s="27">
        <f t="shared" si="4"/>
        <v>98.95399218969905</v>
      </c>
      <c r="K42" s="17">
        <v>767235.9</v>
      </c>
      <c r="L42" s="18">
        <v>769002.8</v>
      </c>
      <c r="M42" s="29">
        <f t="shared" si="5"/>
        <v>100.23029422893272</v>
      </c>
    </row>
    <row r="43" spans="1:13" ht="12.75">
      <c r="A43" s="53" t="s">
        <v>30</v>
      </c>
      <c r="B43" s="26">
        <v>1806.2</v>
      </c>
      <c r="C43" s="26"/>
      <c r="D43" s="27">
        <f t="shared" si="0"/>
        <v>0</v>
      </c>
      <c r="E43" s="26">
        <v>9697.8</v>
      </c>
      <c r="F43" s="26">
        <v>2450</v>
      </c>
      <c r="G43" s="27">
        <f t="shared" si="1"/>
        <v>25.263461816082</v>
      </c>
      <c r="H43" s="26">
        <v>37086.4</v>
      </c>
      <c r="I43" s="26">
        <v>4069</v>
      </c>
      <c r="J43" s="27">
        <f t="shared" si="4"/>
        <v>10.971676948962422</v>
      </c>
      <c r="K43" s="17">
        <v>154880.2</v>
      </c>
      <c r="L43" s="18">
        <v>4089</v>
      </c>
      <c r="M43" s="29">
        <f t="shared" si="5"/>
        <v>2.640105061847802</v>
      </c>
    </row>
    <row r="44" spans="1:13" ht="15.75" customHeight="1">
      <c r="A44" s="53" t="s">
        <v>119</v>
      </c>
      <c r="B44" s="26">
        <v>2158.2</v>
      </c>
      <c r="C44" s="26"/>
      <c r="D44" s="27">
        <f t="shared" si="0"/>
        <v>0</v>
      </c>
      <c r="E44" s="26">
        <v>2318.4</v>
      </c>
      <c r="F44" s="26">
        <v>165.8</v>
      </c>
      <c r="G44" s="27">
        <f t="shared" si="1"/>
        <v>7.151483781918564</v>
      </c>
      <c r="H44" s="26">
        <v>2391</v>
      </c>
      <c r="I44" s="26">
        <v>194.8</v>
      </c>
      <c r="J44" s="27">
        <f t="shared" si="4"/>
        <v>8.147218736930155</v>
      </c>
      <c r="K44" s="17">
        <v>2543</v>
      </c>
      <c r="L44" s="18">
        <v>354.9</v>
      </c>
      <c r="M44" s="29">
        <f t="shared" si="5"/>
        <v>13.955957530475816</v>
      </c>
    </row>
    <row r="45" spans="1:13" ht="36" customHeight="1" hidden="1">
      <c r="A45" s="53" t="s">
        <v>35</v>
      </c>
      <c r="B45" s="26"/>
      <c r="C45" s="26"/>
      <c r="D45" s="27" t="e">
        <f t="shared" si="0"/>
        <v>#DIV/0!</v>
      </c>
      <c r="E45" s="26"/>
      <c r="F45" s="26"/>
      <c r="G45" s="27" t="e">
        <f t="shared" si="1"/>
        <v>#DIV/0!</v>
      </c>
      <c r="H45" s="26"/>
      <c r="I45" s="26"/>
      <c r="J45" s="27" t="e">
        <f t="shared" si="4"/>
        <v>#DIV/0!</v>
      </c>
      <c r="K45" s="17"/>
      <c r="L45" s="18"/>
      <c r="M45" s="29" t="e">
        <f t="shared" si="5"/>
        <v>#DIV/0!</v>
      </c>
    </row>
    <row r="46" spans="1:13" ht="25.5" hidden="1">
      <c r="A46" s="52" t="s">
        <v>108</v>
      </c>
      <c r="B46" s="26"/>
      <c r="C46" s="26"/>
      <c r="D46" s="27"/>
      <c r="E46" s="26"/>
      <c r="F46" s="26"/>
      <c r="G46" s="27" t="e">
        <f t="shared" si="1"/>
        <v>#DIV/0!</v>
      </c>
      <c r="H46" s="26"/>
      <c r="I46" s="26"/>
      <c r="J46" s="27" t="e">
        <f t="shared" si="4"/>
        <v>#DIV/0!</v>
      </c>
      <c r="K46" s="17"/>
      <c r="L46" s="18"/>
      <c r="M46" s="29" t="e">
        <f t="shared" si="5"/>
        <v>#DIV/0!</v>
      </c>
    </row>
    <row r="47" spans="1:13" ht="24" customHeight="1" hidden="1">
      <c r="A47" s="52" t="s">
        <v>109</v>
      </c>
      <c r="B47" s="26"/>
      <c r="C47" s="26"/>
      <c r="D47" s="27"/>
      <c r="E47" s="26"/>
      <c r="F47" s="26"/>
      <c r="G47" s="27"/>
      <c r="H47" s="26"/>
      <c r="I47" s="26"/>
      <c r="J47" s="27" t="e">
        <f t="shared" si="4"/>
        <v>#DIV/0!</v>
      </c>
      <c r="K47" s="17"/>
      <c r="L47" s="18"/>
      <c r="M47" s="29" t="e">
        <f t="shared" si="5"/>
        <v>#DIV/0!</v>
      </c>
    </row>
    <row r="48" spans="1:13" ht="12.75" customHeight="1" hidden="1">
      <c r="A48" s="52" t="s">
        <v>110</v>
      </c>
      <c r="B48" s="26"/>
      <c r="C48" s="26"/>
      <c r="D48" s="27" t="e">
        <f t="shared" si="0"/>
        <v>#DIV/0!</v>
      </c>
      <c r="E48" s="26"/>
      <c r="F48" s="26"/>
      <c r="G48" s="27" t="e">
        <f t="shared" si="1"/>
        <v>#DIV/0!</v>
      </c>
      <c r="H48" s="26"/>
      <c r="I48" s="26"/>
      <c r="J48" s="27" t="e">
        <f t="shared" si="4"/>
        <v>#DIV/0!</v>
      </c>
      <c r="K48" s="17"/>
      <c r="L48" s="18"/>
      <c r="M48" s="29" t="e">
        <f t="shared" si="5"/>
        <v>#DIV/0!</v>
      </c>
    </row>
    <row r="49" spans="1:13" ht="61.5" customHeight="1">
      <c r="A49" s="54" t="s">
        <v>111</v>
      </c>
      <c r="B49" s="26"/>
      <c r="C49" s="26"/>
      <c r="D49" s="27"/>
      <c r="E49" s="26"/>
      <c r="F49" s="26"/>
      <c r="G49" s="27"/>
      <c r="H49" s="26">
        <v>127.4</v>
      </c>
      <c r="I49" s="26"/>
      <c r="J49" s="27">
        <f t="shared" si="4"/>
        <v>0</v>
      </c>
      <c r="K49" s="17">
        <v>139.4</v>
      </c>
      <c r="L49" s="18"/>
      <c r="M49" s="29">
        <f t="shared" si="5"/>
        <v>0</v>
      </c>
    </row>
    <row r="50" spans="1:13" ht="38.25">
      <c r="A50" s="52" t="s">
        <v>112</v>
      </c>
      <c r="B50" s="26">
        <v>-2434</v>
      </c>
      <c r="C50" s="26">
        <v>-54693.2</v>
      </c>
      <c r="D50" s="32" t="s">
        <v>133</v>
      </c>
      <c r="E50" s="26">
        <v>-2462.9</v>
      </c>
      <c r="F50" s="26">
        <v>-54701.1</v>
      </c>
      <c r="G50" s="32" t="s">
        <v>133</v>
      </c>
      <c r="H50" s="26">
        <v>-1434.7</v>
      </c>
      <c r="I50" s="26">
        <v>-54775.8</v>
      </c>
      <c r="J50" s="27" t="s">
        <v>133</v>
      </c>
      <c r="K50" s="17">
        <v>-367.9</v>
      </c>
      <c r="L50" s="18">
        <v>-54854.7</v>
      </c>
      <c r="M50" s="29" t="s">
        <v>133</v>
      </c>
    </row>
    <row r="51" spans="1:13" ht="12.75">
      <c r="A51" s="51" t="s">
        <v>4</v>
      </c>
      <c r="B51" s="33">
        <f>B8+B38</f>
        <v>344798.60000000003</v>
      </c>
      <c r="C51" s="33">
        <f>C8+C38</f>
        <v>272920.89999999997</v>
      </c>
      <c r="D51" s="24">
        <f t="shared" si="0"/>
        <v>79.1537146612544</v>
      </c>
      <c r="E51" s="33">
        <f>E8+E38</f>
        <v>721003.1000000001</v>
      </c>
      <c r="F51" s="33">
        <f>F8+F38</f>
        <v>643631.9</v>
      </c>
      <c r="G51" s="24">
        <f t="shared" si="1"/>
        <v>89.26895043863195</v>
      </c>
      <c r="H51" s="33">
        <f>H8+H38</f>
        <v>1009044.6</v>
      </c>
      <c r="I51" s="33">
        <f>I8+I38</f>
        <v>990075.9</v>
      </c>
      <c r="J51" s="31">
        <f>(I51/H51)*100</f>
        <v>98.12013264824965</v>
      </c>
      <c r="K51" s="33">
        <f>K8+K38</f>
        <v>1653053.3</v>
      </c>
      <c r="L51" s="33">
        <f>L8+L38</f>
        <v>1347495.5</v>
      </c>
      <c r="M51" s="34">
        <f>(L51/K51)*100</f>
        <v>81.51555064800391</v>
      </c>
    </row>
    <row r="52" spans="1:13" ht="12.75">
      <c r="A52" s="55"/>
      <c r="B52" s="23"/>
      <c r="C52" s="23"/>
      <c r="D52" s="24"/>
      <c r="E52" s="23"/>
      <c r="F52" s="23"/>
      <c r="G52" s="24"/>
      <c r="H52" s="23"/>
      <c r="I52" s="23"/>
      <c r="J52" s="23"/>
      <c r="K52" s="28"/>
      <c r="L52" s="30"/>
      <c r="M52" s="35"/>
    </row>
    <row r="53" spans="1:13" ht="12.75">
      <c r="A53" s="49" t="s">
        <v>17</v>
      </c>
      <c r="B53" s="23">
        <f>SUM(B54:B61)</f>
        <v>14006.8</v>
      </c>
      <c r="C53" s="23">
        <f>SUM(C54:C61)</f>
        <v>12478.800000000001</v>
      </c>
      <c r="D53" s="24">
        <f t="shared" si="0"/>
        <v>89.09101293657368</v>
      </c>
      <c r="E53" s="23">
        <f>SUM(E54:E61)</f>
        <v>31856</v>
      </c>
      <c r="F53" s="23">
        <f>SUM(F54:F61)</f>
        <v>24337.9</v>
      </c>
      <c r="G53" s="24">
        <f t="shared" si="1"/>
        <v>76.39973631341034</v>
      </c>
      <c r="H53" s="23">
        <f>SUM(H54:H61)</f>
        <v>46943.200000000004</v>
      </c>
      <c r="I53" s="23">
        <f>SUM(I54:I61)</f>
        <v>42342.4</v>
      </c>
      <c r="J53" s="31">
        <f aca="true" t="shared" si="6" ref="J53:J61">I53/H53*100</f>
        <v>90.19921948226792</v>
      </c>
      <c r="K53" s="23">
        <f>SUM(K54:K61)</f>
        <v>69803</v>
      </c>
      <c r="L53" s="23">
        <f>SUM(L54:L61)</f>
        <v>65097.100000000006</v>
      </c>
      <c r="M53" s="36">
        <f aca="true" t="shared" si="7" ref="M53:M61">L53/K53*100</f>
        <v>93.25831267997077</v>
      </c>
    </row>
    <row r="54" spans="1:13" ht="25.5">
      <c r="A54" s="56" t="s">
        <v>40</v>
      </c>
      <c r="B54" s="26">
        <v>364.9</v>
      </c>
      <c r="C54" s="26">
        <v>337.4</v>
      </c>
      <c r="D54" s="27">
        <f t="shared" si="0"/>
        <v>92.46368868183063</v>
      </c>
      <c r="E54" s="26">
        <v>603.8</v>
      </c>
      <c r="F54" s="26">
        <v>462.2</v>
      </c>
      <c r="G54" s="27">
        <f t="shared" si="1"/>
        <v>76.54852600198741</v>
      </c>
      <c r="H54" s="26">
        <v>867.2</v>
      </c>
      <c r="I54" s="26">
        <v>869.3</v>
      </c>
      <c r="J54" s="28">
        <f t="shared" si="6"/>
        <v>100.24215867158671</v>
      </c>
      <c r="K54" s="26">
        <v>1101.1</v>
      </c>
      <c r="L54" s="30">
        <v>1151.7</v>
      </c>
      <c r="M54" s="37">
        <f t="shared" si="7"/>
        <v>104.59540459540462</v>
      </c>
    </row>
    <row r="55" spans="1:13" ht="38.25">
      <c r="A55" s="56" t="s">
        <v>41</v>
      </c>
      <c r="B55" s="26">
        <v>799.1</v>
      </c>
      <c r="C55" s="26">
        <v>641.6</v>
      </c>
      <c r="D55" s="27">
        <f t="shared" si="0"/>
        <v>80.29032661744463</v>
      </c>
      <c r="E55" s="26">
        <v>1889.3</v>
      </c>
      <c r="F55" s="26">
        <v>1441.5</v>
      </c>
      <c r="G55" s="27">
        <f t="shared" si="1"/>
        <v>76.29809982533213</v>
      </c>
      <c r="H55" s="26">
        <v>2474.5</v>
      </c>
      <c r="I55" s="26">
        <v>2131.3</v>
      </c>
      <c r="J55" s="28">
        <f t="shared" si="6"/>
        <v>86.13053142048899</v>
      </c>
      <c r="K55" s="26">
        <v>3381.3</v>
      </c>
      <c r="L55" s="30">
        <v>2911.2</v>
      </c>
      <c r="M55" s="37">
        <f t="shared" si="7"/>
        <v>86.097063259693</v>
      </c>
    </row>
    <row r="56" spans="1:13" ht="38.25">
      <c r="A56" s="56" t="s">
        <v>42</v>
      </c>
      <c r="B56" s="26">
        <v>6797.6</v>
      </c>
      <c r="C56" s="26">
        <v>7453.6</v>
      </c>
      <c r="D56" s="27">
        <f t="shared" si="0"/>
        <v>109.6504648699541</v>
      </c>
      <c r="E56" s="26">
        <v>15678.4</v>
      </c>
      <c r="F56" s="26">
        <v>12089.7</v>
      </c>
      <c r="G56" s="27">
        <f t="shared" si="1"/>
        <v>77.11054699459129</v>
      </c>
      <c r="H56" s="26">
        <v>22663.9</v>
      </c>
      <c r="I56" s="26">
        <v>22981.8</v>
      </c>
      <c r="J56" s="28">
        <f t="shared" si="6"/>
        <v>101.40267120839748</v>
      </c>
      <c r="K56" s="26">
        <v>30180.4</v>
      </c>
      <c r="L56" s="30">
        <v>32547.7</v>
      </c>
      <c r="M56" s="37">
        <f t="shared" si="7"/>
        <v>107.84383242104147</v>
      </c>
    </row>
    <row r="57" spans="1:13" ht="12.75" hidden="1">
      <c r="A57" s="56" t="s">
        <v>43</v>
      </c>
      <c r="B57" s="26"/>
      <c r="C57" s="26"/>
      <c r="D57" s="27" t="e">
        <f t="shared" si="0"/>
        <v>#DIV/0!</v>
      </c>
      <c r="E57" s="26"/>
      <c r="F57" s="26"/>
      <c r="G57" s="27" t="e">
        <f t="shared" si="1"/>
        <v>#DIV/0!</v>
      </c>
      <c r="H57" s="26"/>
      <c r="I57" s="26"/>
      <c r="J57" s="28" t="e">
        <f t="shared" si="6"/>
        <v>#DIV/0!</v>
      </c>
      <c r="K57" s="26"/>
      <c r="L57" s="30"/>
      <c r="M57" s="37" t="e">
        <f t="shared" si="7"/>
        <v>#DIV/0!</v>
      </c>
    </row>
    <row r="58" spans="1:13" ht="25.5">
      <c r="A58" s="56" t="s">
        <v>120</v>
      </c>
      <c r="B58" s="26">
        <v>231.7</v>
      </c>
      <c r="C58" s="26">
        <v>170.1</v>
      </c>
      <c r="D58" s="27">
        <f t="shared" si="0"/>
        <v>73.41389728096676</v>
      </c>
      <c r="E58" s="26">
        <v>433.2</v>
      </c>
      <c r="F58" s="26">
        <v>417.5</v>
      </c>
      <c r="G58" s="27">
        <f t="shared" si="1"/>
        <v>96.3758079409049</v>
      </c>
      <c r="H58" s="26">
        <v>620</v>
      </c>
      <c r="I58" s="26">
        <v>693.1</v>
      </c>
      <c r="J58" s="28">
        <f t="shared" si="6"/>
        <v>111.79032258064517</v>
      </c>
      <c r="K58" s="26">
        <v>867.7</v>
      </c>
      <c r="L58" s="30">
        <v>899.8</v>
      </c>
      <c r="M58" s="37">
        <f t="shared" si="7"/>
        <v>103.69943528869423</v>
      </c>
    </row>
    <row r="59" spans="1:13" ht="12.75" hidden="1">
      <c r="A59" s="56" t="s">
        <v>44</v>
      </c>
      <c r="B59" s="26"/>
      <c r="C59" s="26"/>
      <c r="D59" s="27" t="e">
        <f t="shared" si="0"/>
        <v>#DIV/0!</v>
      </c>
      <c r="E59" s="26"/>
      <c r="F59" s="26"/>
      <c r="G59" s="27" t="e">
        <f t="shared" si="1"/>
        <v>#DIV/0!</v>
      </c>
      <c r="H59" s="26"/>
      <c r="I59" s="26"/>
      <c r="J59" s="28" t="e">
        <f t="shared" si="6"/>
        <v>#DIV/0!</v>
      </c>
      <c r="K59" s="26"/>
      <c r="L59" s="30"/>
      <c r="M59" s="37" t="e">
        <f t="shared" si="7"/>
        <v>#DIV/0!</v>
      </c>
    </row>
    <row r="60" spans="1:13" ht="12.75" hidden="1">
      <c r="A60" s="56" t="s">
        <v>45</v>
      </c>
      <c r="B60" s="26"/>
      <c r="C60" s="26"/>
      <c r="D60" s="27"/>
      <c r="E60" s="26"/>
      <c r="F60" s="26"/>
      <c r="G60" s="27"/>
      <c r="H60" s="26"/>
      <c r="I60" s="26"/>
      <c r="J60" s="28" t="e">
        <f t="shared" si="6"/>
        <v>#DIV/0!</v>
      </c>
      <c r="K60" s="26"/>
      <c r="L60" s="30"/>
      <c r="M60" s="37" t="e">
        <f t="shared" si="7"/>
        <v>#DIV/0!</v>
      </c>
    </row>
    <row r="61" spans="1:13" ht="12.75">
      <c r="A61" s="56" t="s">
        <v>121</v>
      </c>
      <c r="B61" s="26">
        <f>2327.2+71.5+1903.6+1511.2</f>
        <v>5813.499999999999</v>
      </c>
      <c r="C61" s="26">
        <f>1675.1+2200.9+0.1</f>
        <v>3876.1</v>
      </c>
      <c r="D61" s="27">
        <f t="shared" si="0"/>
        <v>66.67412058140536</v>
      </c>
      <c r="E61" s="26">
        <f>4756.4+71.5+6760.5+1584.8+78.1</f>
        <v>13251.3</v>
      </c>
      <c r="F61" s="26">
        <f>3887.8+5959.7+40.4+39.1</f>
        <v>9927</v>
      </c>
      <c r="G61" s="27">
        <f t="shared" si="1"/>
        <v>74.91340472255553</v>
      </c>
      <c r="H61" s="26">
        <f>7441.6+71.5+11005.2+1584.8+136.7+77.7+0.1</f>
        <v>20317.600000000002</v>
      </c>
      <c r="I61" s="26">
        <f>15666.9</f>
        <v>15666.9</v>
      </c>
      <c r="J61" s="28">
        <f t="shared" si="6"/>
        <v>77.109993306296</v>
      </c>
      <c r="K61" s="26">
        <f>11481.3+71.5+20726.1+1740.1+175.8+77.7</f>
        <v>34272.5</v>
      </c>
      <c r="L61" s="30">
        <v>27586.7</v>
      </c>
      <c r="M61" s="37">
        <f t="shared" si="7"/>
        <v>80.4922313808447</v>
      </c>
    </row>
    <row r="62" spans="1:13" ht="12.75">
      <c r="A62" s="49" t="s">
        <v>18</v>
      </c>
      <c r="B62" s="23">
        <f>B63</f>
        <v>45.8</v>
      </c>
      <c r="C62" s="23">
        <f>C63</f>
        <v>-32.9</v>
      </c>
      <c r="D62" s="24">
        <f t="shared" si="0"/>
        <v>-71.83406113537119</v>
      </c>
      <c r="E62" s="23">
        <f>E63</f>
        <v>68.9</v>
      </c>
      <c r="F62" s="23">
        <f>F63</f>
        <v>58.1</v>
      </c>
      <c r="G62" s="24">
        <f t="shared" si="1"/>
        <v>84.32510885341074</v>
      </c>
      <c r="H62" s="23">
        <f>H63</f>
        <v>126.9</v>
      </c>
      <c r="I62" s="23">
        <f>I63</f>
        <v>144.2</v>
      </c>
      <c r="J62" s="31">
        <f>I62/H62*100</f>
        <v>113.6327817178881</v>
      </c>
      <c r="K62" s="23">
        <f>K63</f>
        <v>228.5</v>
      </c>
      <c r="L62" s="23">
        <f>L63</f>
        <v>205.8</v>
      </c>
      <c r="M62" s="36">
        <f>L62/K62*100</f>
        <v>90.0656455142232</v>
      </c>
    </row>
    <row r="63" spans="1:13" ht="12.75">
      <c r="A63" s="56" t="s">
        <v>46</v>
      </c>
      <c r="B63" s="26">
        <v>45.8</v>
      </c>
      <c r="C63" s="26">
        <v>-32.9</v>
      </c>
      <c r="D63" s="27">
        <f t="shared" si="0"/>
        <v>-71.83406113537119</v>
      </c>
      <c r="E63" s="26">
        <v>68.9</v>
      </c>
      <c r="F63" s="26">
        <v>58.1</v>
      </c>
      <c r="G63" s="27">
        <f t="shared" si="1"/>
        <v>84.32510885341074</v>
      </c>
      <c r="H63" s="26">
        <v>126.9</v>
      </c>
      <c r="I63" s="26">
        <v>144.2</v>
      </c>
      <c r="J63" s="28">
        <f>I63/H63*100</f>
        <v>113.6327817178881</v>
      </c>
      <c r="K63" s="26">
        <v>228.5</v>
      </c>
      <c r="L63" s="30">
        <v>205.8</v>
      </c>
      <c r="M63" s="37">
        <f>L63/K63*100</f>
        <v>90.0656455142232</v>
      </c>
    </row>
    <row r="64" spans="1:13" ht="29.25" customHeight="1">
      <c r="A64" s="57" t="s">
        <v>19</v>
      </c>
      <c r="B64" s="23">
        <f>B65+B66+B67+B68+B69</f>
        <v>1783</v>
      </c>
      <c r="C64" s="23">
        <f>C65+C66+C67+C68+C69</f>
        <v>1560.5</v>
      </c>
      <c r="D64" s="24">
        <f t="shared" si="0"/>
        <v>87.52103196859225</v>
      </c>
      <c r="E64" s="23">
        <f>E65+E66+E67+E68+E69</f>
        <v>3746.1000000000004</v>
      </c>
      <c r="F64" s="23">
        <f>F65+F66+F67+F68+F69</f>
        <v>3555.6</v>
      </c>
      <c r="G64" s="24">
        <f t="shared" si="1"/>
        <v>94.91471129975173</v>
      </c>
      <c r="H64" s="23">
        <f>H65+H66+H67+H68+H69</f>
        <v>6576.599999999999</v>
      </c>
      <c r="I64" s="23">
        <f>I65+I66+I67+I68+I69</f>
        <v>5621.8</v>
      </c>
      <c r="J64" s="31">
        <f>I64/H64*100</f>
        <v>85.48185992762218</v>
      </c>
      <c r="K64" s="23">
        <f>K65+K66+K67+K68+K69</f>
        <v>8720.4</v>
      </c>
      <c r="L64" s="23">
        <f>L65+L66+L67+L68+L69</f>
        <v>8268.5</v>
      </c>
      <c r="M64" s="36">
        <f>L64/K64*100</f>
        <v>94.81789826154764</v>
      </c>
    </row>
    <row r="65" spans="1:13" ht="21" customHeight="1" hidden="1">
      <c r="A65" s="58" t="s">
        <v>103</v>
      </c>
      <c r="B65" s="26"/>
      <c r="C65" s="26"/>
      <c r="D65" s="27"/>
      <c r="E65" s="26"/>
      <c r="F65" s="26"/>
      <c r="G65" s="27"/>
      <c r="H65" s="26"/>
      <c r="I65" s="26"/>
      <c r="J65" s="28"/>
      <c r="K65" s="26"/>
      <c r="L65" s="30"/>
      <c r="M65" s="35"/>
    </row>
    <row r="66" spans="1:13" ht="25.5">
      <c r="A66" s="56" t="s">
        <v>47</v>
      </c>
      <c r="B66" s="26">
        <v>1554.7</v>
      </c>
      <c r="C66" s="26">
        <v>1320.2</v>
      </c>
      <c r="D66" s="27">
        <f t="shared" si="0"/>
        <v>84.91670418730301</v>
      </c>
      <c r="E66" s="26">
        <v>3079.9</v>
      </c>
      <c r="F66" s="26">
        <v>3092</v>
      </c>
      <c r="G66" s="27">
        <f t="shared" si="1"/>
        <v>100.39286989837333</v>
      </c>
      <c r="H66" s="26">
        <v>4907.7</v>
      </c>
      <c r="I66" s="26">
        <v>4583.5</v>
      </c>
      <c r="J66" s="28">
        <f>I66/H66*100</f>
        <v>93.3940542412943</v>
      </c>
      <c r="K66" s="26">
        <v>6533.4</v>
      </c>
      <c r="L66" s="30">
        <v>6889.3</v>
      </c>
      <c r="M66" s="37">
        <f>L66/K66*100</f>
        <v>105.44739339394498</v>
      </c>
    </row>
    <row r="67" spans="1:13" ht="12.75" hidden="1">
      <c r="A67" s="56" t="s">
        <v>48</v>
      </c>
      <c r="B67" s="26"/>
      <c r="C67" s="26"/>
      <c r="D67" s="27" t="e">
        <f t="shared" si="0"/>
        <v>#DIV/0!</v>
      </c>
      <c r="E67" s="26"/>
      <c r="F67" s="26"/>
      <c r="G67" s="27" t="e">
        <f t="shared" si="1"/>
        <v>#DIV/0!</v>
      </c>
      <c r="H67" s="26"/>
      <c r="I67" s="26"/>
      <c r="J67" s="28" t="e">
        <f>I67/H67*100</f>
        <v>#DIV/0!</v>
      </c>
      <c r="K67" s="26"/>
      <c r="L67" s="30"/>
      <c r="M67" s="37" t="e">
        <f>L67/K67*100</f>
        <v>#DIV/0!</v>
      </c>
    </row>
    <row r="68" spans="1:13" ht="12.75" hidden="1">
      <c r="A68" s="56" t="s">
        <v>49</v>
      </c>
      <c r="B68" s="26"/>
      <c r="C68" s="26"/>
      <c r="D68" s="27" t="e">
        <f aca="true" t="shared" si="8" ref="D68:D128">C68/B68*100</f>
        <v>#DIV/0!</v>
      </c>
      <c r="E68" s="26"/>
      <c r="F68" s="26"/>
      <c r="G68" s="27" t="e">
        <f aca="true" t="shared" si="9" ref="G68:G128">F68/E68*100</f>
        <v>#DIV/0!</v>
      </c>
      <c r="H68" s="26"/>
      <c r="I68" s="26"/>
      <c r="J68" s="28" t="e">
        <f>I68/H68*100</f>
        <v>#DIV/0!</v>
      </c>
      <c r="K68" s="26"/>
      <c r="L68" s="30"/>
      <c r="M68" s="37" t="e">
        <f>L68/K68*100</f>
        <v>#DIV/0!</v>
      </c>
    </row>
    <row r="69" spans="1:13" ht="25.5">
      <c r="A69" s="56" t="s">
        <v>122</v>
      </c>
      <c r="B69" s="26">
        <f>102.4+5+120.9</f>
        <v>228.3</v>
      </c>
      <c r="C69" s="26">
        <f>70.5+169.8</f>
        <v>240.3</v>
      </c>
      <c r="D69" s="27">
        <f t="shared" si="8"/>
        <v>105.2562417871222</v>
      </c>
      <c r="E69" s="26">
        <f>297.3+11.3+357.6</f>
        <v>666.2</v>
      </c>
      <c r="F69" s="26">
        <f>393.1+70.5</f>
        <v>463.6</v>
      </c>
      <c r="G69" s="27">
        <f t="shared" si="9"/>
        <v>69.58871209846893</v>
      </c>
      <c r="H69" s="26">
        <f>700.3+263+45.8+659.8</f>
        <v>1668.8999999999999</v>
      </c>
      <c r="I69" s="26">
        <f>1038.3</f>
        <v>1038.3</v>
      </c>
      <c r="J69" s="28">
        <f>I69/H69*100</f>
        <v>62.21463239259393</v>
      </c>
      <c r="K69" s="26">
        <f>1103.3+24.4+263+45.8+18+732.5</f>
        <v>2187</v>
      </c>
      <c r="L69" s="30">
        <v>1379.2</v>
      </c>
      <c r="M69" s="37">
        <f>L69/K69*100</f>
        <v>63.06355738454504</v>
      </c>
    </row>
    <row r="70" spans="1:13" ht="12.75">
      <c r="A70" s="57" t="s">
        <v>20</v>
      </c>
      <c r="B70" s="23">
        <f>SUM(B71:B79)</f>
        <v>22597.5</v>
      </c>
      <c r="C70" s="23">
        <f>SUM(C71:C79)</f>
        <v>23888.9</v>
      </c>
      <c r="D70" s="24">
        <f t="shared" si="8"/>
        <v>105.71479145923222</v>
      </c>
      <c r="E70" s="23">
        <f>SUM(E71:E79)</f>
        <v>60248.7</v>
      </c>
      <c r="F70" s="23">
        <f>SUM(F71:F79)</f>
        <v>47267.3</v>
      </c>
      <c r="G70" s="24">
        <f t="shared" si="9"/>
        <v>78.45364298316811</v>
      </c>
      <c r="H70" s="23">
        <f>SUM(H71:H79)</f>
        <v>117259.7</v>
      </c>
      <c r="I70" s="23">
        <f>SUM(I71:I79)</f>
        <v>75763.2</v>
      </c>
      <c r="J70" s="31">
        <f>I70/H70*100</f>
        <v>64.61145645093754</v>
      </c>
      <c r="K70" s="23">
        <f>SUM(K71:K79)</f>
        <v>225410.80000000002</v>
      </c>
      <c r="L70" s="23">
        <f>SUM(L71:L79)</f>
        <v>116484</v>
      </c>
      <c r="M70" s="36">
        <f>L70/K70*100</f>
        <v>51.67631719509447</v>
      </c>
    </row>
    <row r="71" spans="1:13" ht="12.75" hidden="1">
      <c r="A71" s="56" t="s">
        <v>50</v>
      </c>
      <c r="B71" s="26"/>
      <c r="C71" s="26"/>
      <c r="D71" s="27" t="e">
        <f t="shared" si="8"/>
        <v>#DIV/0!</v>
      </c>
      <c r="E71" s="26"/>
      <c r="F71" s="26"/>
      <c r="G71" s="27" t="e">
        <f t="shared" si="9"/>
        <v>#DIV/0!</v>
      </c>
      <c r="H71" s="26"/>
      <c r="I71" s="26"/>
      <c r="J71" s="26"/>
      <c r="K71" s="26"/>
      <c r="L71" s="30"/>
      <c r="M71" s="35"/>
    </row>
    <row r="72" spans="1:13" ht="12.75">
      <c r="A72" s="56" t="s">
        <v>89</v>
      </c>
      <c r="B72" s="26">
        <v>500</v>
      </c>
      <c r="C72" s="26">
        <v>100</v>
      </c>
      <c r="D72" s="27">
        <f t="shared" si="8"/>
        <v>20</v>
      </c>
      <c r="E72" s="26">
        <f>7800+500</f>
        <v>8300</v>
      </c>
      <c r="F72" s="26">
        <v>100</v>
      </c>
      <c r="G72" s="27">
        <f t="shared" si="9"/>
        <v>1.2048192771084338</v>
      </c>
      <c r="H72" s="26">
        <f>34480.5+1800-0.1</f>
        <v>36280.4</v>
      </c>
      <c r="I72" s="26">
        <f>1100</f>
        <v>1100</v>
      </c>
      <c r="J72" s="28">
        <f aca="true" t="shared" si="10" ref="J72:J79">I72/H72*100</f>
        <v>3.0319401109138817</v>
      </c>
      <c r="K72" s="26">
        <f>100328+5600</f>
        <v>105928</v>
      </c>
      <c r="L72" s="30">
        <v>2100</v>
      </c>
      <c r="M72" s="37">
        <f aca="true" t="shared" si="11" ref="M72:M79">L72/K72*100</f>
        <v>1.9824786647534172</v>
      </c>
    </row>
    <row r="73" spans="1:13" ht="12.75" hidden="1">
      <c r="A73" s="56" t="s">
        <v>51</v>
      </c>
      <c r="B73" s="26"/>
      <c r="C73" s="26"/>
      <c r="D73" s="27" t="e">
        <f t="shared" si="8"/>
        <v>#DIV/0!</v>
      </c>
      <c r="E73" s="26"/>
      <c r="F73" s="26"/>
      <c r="G73" s="27" t="e">
        <f t="shared" si="9"/>
        <v>#DIV/0!</v>
      </c>
      <c r="H73" s="26"/>
      <c r="I73" s="26"/>
      <c r="J73" s="28" t="e">
        <f t="shared" si="10"/>
        <v>#DIV/0!</v>
      </c>
      <c r="K73" s="26"/>
      <c r="L73" s="30"/>
      <c r="M73" s="37" t="e">
        <f t="shared" si="11"/>
        <v>#DIV/0!</v>
      </c>
    </row>
    <row r="74" spans="1:13" ht="12.75" hidden="1">
      <c r="A74" s="56" t="s">
        <v>52</v>
      </c>
      <c r="B74" s="26"/>
      <c r="C74" s="26"/>
      <c r="D74" s="27"/>
      <c r="E74" s="26"/>
      <c r="F74" s="26"/>
      <c r="G74" s="27" t="e">
        <f t="shared" si="9"/>
        <v>#DIV/0!</v>
      </c>
      <c r="H74" s="26"/>
      <c r="I74" s="26"/>
      <c r="J74" s="28" t="e">
        <f t="shared" si="10"/>
        <v>#DIV/0!</v>
      </c>
      <c r="K74" s="26"/>
      <c r="L74" s="30"/>
      <c r="M74" s="37" t="e">
        <f t="shared" si="11"/>
        <v>#DIV/0!</v>
      </c>
    </row>
    <row r="75" spans="1:13" ht="14.25" customHeight="1" hidden="1">
      <c r="A75" s="56" t="s">
        <v>53</v>
      </c>
      <c r="B75" s="26"/>
      <c r="C75" s="26"/>
      <c r="D75" s="27" t="e">
        <f t="shared" si="8"/>
        <v>#DIV/0!</v>
      </c>
      <c r="E75" s="26"/>
      <c r="F75" s="26"/>
      <c r="G75" s="27" t="e">
        <f t="shared" si="9"/>
        <v>#DIV/0!</v>
      </c>
      <c r="H75" s="26"/>
      <c r="I75" s="26"/>
      <c r="J75" s="28" t="e">
        <f t="shared" si="10"/>
        <v>#DIV/0!</v>
      </c>
      <c r="K75" s="26"/>
      <c r="L75" s="30"/>
      <c r="M75" s="37" t="e">
        <f t="shared" si="11"/>
        <v>#DIV/0!</v>
      </c>
    </row>
    <row r="76" spans="1:13" ht="12.75">
      <c r="A76" s="56" t="s">
        <v>54</v>
      </c>
      <c r="B76" s="26">
        <v>9688.4</v>
      </c>
      <c r="C76" s="26">
        <v>8980</v>
      </c>
      <c r="D76" s="27">
        <f t="shared" si="8"/>
        <v>92.68816316419635</v>
      </c>
      <c r="E76" s="26">
        <v>18031</v>
      </c>
      <c r="F76" s="26">
        <v>18815.8</v>
      </c>
      <c r="G76" s="27">
        <f t="shared" si="9"/>
        <v>104.35250402085296</v>
      </c>
      <c r="H76" s="26">
        <v>26461</v>
      </c>
      <c r="I76" s="26">
        <v>30264</v>
      </c>
      <c r="J76" s="28">
        <f t="shared" si="10"/>
        <v>114.37209478099845</v>
      </c>
      <c r="K76" s="26">
        <v>34791</v>
      </c>
      <c r="L76" s="30">
        <v>38744</v>
      </c>
      <c r="M76" s="37">
        <f t="shared" si="11"/>
        <v>111.3621338852002</v>
      </c>
    </row>
    <row r="77" spans="1:13" ht="12.75">
      <c r="A77" s="56" t="s">
        <v>55</v>
      </c>
      <c r="B77" s="26">
        <v>12102.5</v>
      </c>
      <c r="C77" s="26">
        <v>8243</v>
      </c>
      <c r="D77" s="27">
        <f t="shared" si="8"/>
        <v>68.10989464986574</v>
      </c>
      <c r="E77" s="26">
        <v>30409.7</v>
      </c>
      <c r="F77" s="26">
        <v>20278.3</v>
      </c>
      <c r="G77" s="27">
        <f t="shared" si="9"/>
        <v>66.6836568594889</v>
      </c>
      <c r="H77" s="26">
        <v>45983.5</v>
      </c>
      <c r="I77" s="26">
        <v>31622.1</v>
      </c>
      <c r="J77" s="28">
        <f t="shared" si="10"/>
        <v>68.76836256483303</v>
      </c>
      <c r="K77" s="26">
        <v>55290.2</v>
      </c>
      <c r="L77" s="30">
        <v>45701.1</v>
      </c>
      <c r="M77" s="37">
        <f t="shared" si="11"/>
        <v>82.65678185284192</v>
      </c>
    </row>
    <row r="78" spans="1:13" ht="17.25" customHeight="1" hidden="1">
      <c r="A78" s="56" t="s">
        <v>56</v>
      </c>
      <c r="B78" s="26"/>
      <c r="C78" s="26"/>
      <c r="D78" s="27" t="e">
        <f t="shared" si="8"/>
        <v>#DIV/0!</v>
      </c>
      <c r="E78" s="26"/>
      <c r="F78" s="26"/>
      <c r="G78" s="27" t="e">
        <f t="shared" si="9"/>
        <v>#DIV/0!</v>
      </c>
      <c r="H78" s="26"/>
      <c r="I78" s="26"/>
      <c r="J78" s="28" t="e">
        <f t="shared" si="10"/>
        <v>#DIV/0!</v>
      </c>
      <c r="K78" s="26"/>
      <c r="L78" s="30"/>
      <c r="M78" s="37" t="e">
        <f t="shared" si="11"/>
        <v>#DIV/0!</v>
      </c>
    </row>
    <row r="79" spans="1:13" ht="12.75">
      <c r="A79" s="56" t="s">
        <v>129</v>
      </c>
      <c r="B79" s="26">
        <f>115.3+191.3</f>
        <v>306.6</v>
      </c>
      <c r="C79" s="26">
        <f>6504.6+61.3</f>
        <v>6565.900000000001</v>
      </c>
      <c r="D79" s="27" t="s">
        <v>133</v>
      </c>
      <c r="E79" s="26">
        <f>3041.4+466.6</f>
        <v>3508</v>
      </c>
      <c r="F79" s="26">
        <f>6977.6+1095.6</f>
        <v>8073.200000000001</v>
      </c>
      <c r="G79" s="27" t="s">
        <v>133</v>
      </c>
      <c r="H79" s="26">
        <f>7946+588.8</f>
        <v>8534.8</v>
      </c>
      <c r="I79" s="26">
        <v>12777.1</v>
      </c>
      <c r="J79" s="28">
        <f t="shared" si="10"/>
        <v>149.70590992173223</v>
      </c>
      <c r="K79" s="26">
        <f>28188.4+1213.2</f>
        <v>29401.600000000002</v>
      </c>
      <c r="L79" s="30">
        <v>29938.9</v>
      </c>
      <c r="M79" s="37">
        <f t="shared" si="11"/>
        <v>101.82745156726165</v>
      </c>
    </row>
    <row r="80" spans="1:13" ht="23.25" customHeight="1" hidden="1">
      <c r="A80" s="55" t="s">
        <v>8</v>
      </c>
      <c r="B80" s="26"/>
      <c r="C80" s="26"/>
      <c r="D80" s="24" t="e">
        <f t="shared" si="8"/>
        <v>#DIV/0!</v>
      </c>
      <c r="E80" s="26"/>
      <c r="F80" s="26"/>
      <c r="G80" s="24" t="e">
        <f t="shared" si="9"/>
        <v>#DIV/0!</v>
      </c>
      <c r="H80" s="26"/>
      <c r="I80" s="26"/>
      <c r="J80" s="26"/>
      <c r="K80" s="26"/>
      <c r="L80" s="30"/>
      <c r="M80" s="35"/>
    </row>
    <row r="81" spans="1:13" ht="15" customHeight="1">
      <c r="A81" s="57" t="s">
        <v>8</v>
      </c>
      <c r="B81" s="23">
        <f>SUM(B82:B85)</f>
        <v>36331.4</v>
      </c>
      <c r="C81" s="23">
        <f>SUM(C82:C85)</f>
        <v>14156.5</v>
      </c>
      <c r="D81" s="24">
        <f t="shared" si="8"/>
        <v>38.964917399274455</v>
      </c>
      <c r="E81" s="23">
        <f>SUM(E82:E85)</f>
        <v>69029.5</v>
      </c>
      <c r="F81" s="23">
        <f>SUM(F82:F85)</f>
        <v>31005.3</v>
      </c>
      <c r="G81" s="24">
        <f t="shared" si="9"/>
        <v>44.91601416785577</v>
      </c>
      <c r="H81" s="23">
        <f>SUM(H82:H85)</f>
        <v>93918.4</v>
      </c>
      <c r="I81" s="23">
        <f>SUM(I82:I85)</f>
        <v>57235.8</v>
      </c>
      <c r="J81" s="31">
        <f aca="true" t="shared" si="12" ref="J81:J86">I81/H81*100</f>
        <v>60.942051823710806</v>
      </c>
      <c r="K81" s="23">
        <f>SUM(K82:K85)</f>
        <v>197339.4</v>
      </c>
      <c r="L81" s="23">
        <f>SUM(L82:L85)</f>
        <v>90397.1</v>
      </c>
      <c r="M81" s="36">
        <f>L81/K81*100</f>
        <v>45.807932931791626</v>
      </c>
    </row>
    <row r="82" spans="1:13" ht="12.75">
      <c r="A82" s="56" t="s">
        <v>123</v>
      </c>
      <c r="B82" s="26">
        <f>1789.8+60</f>
        <v>1849.8</v>
      </c>
      <c r="C82" s="26"/>
      <c r="D82" s="27">
        <f t="shared" si="8"/>
        <v>0</v>
      </c>
      <c r="E82" s="26">
        <f>3088.5+60</f>
        <v>3148.5</v>
      </c>
      <c r="F82" s="26">
        <f>3188.5</f>
        <v>3188.5</v>
      </c>
      <c r="G82" s="27">
        <f t="shared" si="9"/>
        <v>101.27044624424329</v>
      </c>
      <c r="H82" s="26">
        <f>3088.5+60</f>
        <v>3148.5</v>
      </c>
      <c r="I82" s="26">
        <v>7335.8</v>
      </c>
      <c r="J82" s="28">
        <f t="shared" si="12"/>
        <v>232.99348896299827</v>
      </c>
      <c r="K82" s="26">
        <f>6586.3+60</f>
        <v>6646.3</v>
      </c>
      <c r="L82" s="30">
        <v>12638.2</v>
      </c>
      <c r="M82" s="37">
        <f>L82/K82*100</f>
        <v>190.15392022629132</v>
      </c>
    </row>
    <row r="83" spans="1:13" ht="12.75">
      <c r="A83" s="56" t="s">
        <v>57</v>
      </c>
      <c r="B83" s="26">
        <v>33046.9</v>
      </c>
      <c r="C83" s="26">
        <v>10857</v>
      </c>
      <c r="D83" s="27">
        <f t="shared" si="8"/>
        <v>32.85330847976663</v>
      </c>
      <c r="E83" s="26">
        <v>60351.1</v>
      </c>
      <c r="F83" s="26">
        <v>19547</v>
      </c>
      <c r="G83" s="27">
        <f t="shared" si="9"/>
        <v>32.38880484365654</v>
      </c>
      <c r="H83" s="26">
        <v>81707</v>
      </c>
      <c r="I83" s="26">
        <v>37926</v>
      </c>
      <c r="J83" s="28">
        <f t="shared" si="12"/>
        <v>46.41707564835326</v>
      </c>
      <c r="K83" s="26">
        <v>172896.2</v>
      </c>
      <c r="L83" s="30">
        <v>58971.3</v>
      </c>
      <c r="M83" s="37">
        <f>L83/K83*100</f>
        <v>34.107921400238986</v>
      </c>
    </row>
    <row r="84" spans="1:13" ht="12.75">
      <c r="A84" s="56" t="s">
        <v>58</v>
      </c>
      <c r="B84" s="26">
        <v>1020</v>
      </c>
      <c r="C84" s="26">
        <v>2908.8</v>
      </c>
      <c r="D84" s="27" t="s">
        <v>133</v>
      </c>
      <c r="E84" s="26">
        <v>4623.6</v>
      </c>
      <c r="F84" s="26">
        <v>7395.6</v>
      </c>
      <c r="G84" s="27">
        <f t="shared" si="9"/>
        <v>159.95328315598235</v>
      </c>
      <c r="H84" s="26">
        <v>7657.7</v>
      </c>
      <c r="I84" s="26">
        <v>10628.8</v>
      </c>
      <c r="J84" s="28">
        <f t="shared" si="12"/>
        <v>138.79885605338418</v>
      </c>
      <c r="K84" s="26">
        <v>15628.6</v>
      </c>
      <c r="L84" s="30">
        <v>16888</v>
      </c>
      <c r="M84" s="37">
        <f>L84/K84*100</f>
        <v>108.05830336690427</v>
      </c>
    </row>
    <row r="85" spans="1:13" ht="12.75">
      <c r="A85" s="56" t="s">
        <v>124</v>
      </c>
      <c r="B85" s="26">
        <v>414.7</v>
      </c>
      <c r="C85" s="26">
        <v>390.7</v>
      </c>
      <c r="D85" s="27">
        <f t="shared" si="8"/>
        <v>94.21268386785628</v>
      </c>
      <c r="E85" s="26">
        <v>906.3</v>
      </c>
      <c r="F85" s="26">
        <v>874.2</v>
      </c>
      <c r="G85" s="27">
        <f t="shared" si="9"/>
        <v>96.45812644819597</v>
      </c>
      <c r="H85" s="26">
        <f>1405.2</f>
        <v>1405.2</v>
      </c>
      <c r="I85" s="26">
        <v>1345.2</v>
      </c>
      <c r="J85" s="28">
        <f t="shared" si="12"/>
        <v>95.73014517506405</v>
      </c>
      <c r="K85" s="26">
        <v>2168.3</v>
      </c>
      <c r="L85" s="30">
        <v>1899.6</v>
      </c>
      <c r="M85" s="37">
        <f>L85/K85*100</f>
        <v>87.60780334824516</v>
      </c>
    </row>
    <row r="86" spans="1:13" ht="17.25" customHeight="1">
      <c r="A86" s="57" t="s">
        <v>21</v>
      </c>
      <c r="B86" s="23">
        <f>SUM(B87:B90)</f>
        <v>0</v>
      </c>
      <c r="C86" s="23">
        <f>SUM(C87:C90)</f>
        <v>0</v>
      </c>
      <c r="D86" s="24">
        <v>0</v>
      </c>
      <c r="E86" s="23">
        <f>E87+E88+E89+E90</f>
        <v>99</v>
      </c>
      <c r="F86" s="23">
        <f>F87+F88+F89+F90</f>
        <v>0</v>
      </c>
      <c r="G86" s="24">
        <f t="shared" si="9"/>
        <v>0</v>
      </c>
      <c r="H86" s="23">
        <f>H87+H88+H89+H90</f>
        <v>99</v>
      </c>
      <c r="I86" s="23">
        <f>I87+I88+I89+I90</f>
        <v>0</v>
      </c>
      <c r="J86" s="31">
        <f t="shared" si="12"/>
        <v>0</v>
      </c>
      <c r="K86" s="23">
        <f>K87+K88+K89+K90</f>
        <v>0</v>
      </c>
      <c r="L86" s="23">
        <f>L87+L88+L89+L90</f>
        <v>0</v>
      </c>
      <c r="M86" s="36">
        <v>0</v>
      </c>
    </row>
    <row r="87" spans="1:13" ht="15" customHeight="1" hidden="1">
      <c r="A87" s="56" t="s">
        <v>59</v>
      </c>
      <c r="B87" s="26"/>
      <c r="C87" s="26"/>
      <c r="D87" s="27"/>
      <c r="E87" s="26"/>
      <c r="F87" s="26"/>
      <c r="G87" s="27" t="e">
        <f t="shared" si="9"/>
        <v>#DIV/0!</v>
      </c>
      <c r="H87" s="26"/>
      <c r="I87" s="26"/>
      <c r="J87" s="26"/>
      <c r="K87" s="26"/>
      <c r="L87" s="30"/>
      <c r="M87" s="35"/>
    </row>
    <row r="88" spans="1:13" ht="15" customHeight="1" hidden="1">
      <c r="A88" s="56" t="s">
        <v>106</v>
      </c>
      <c r="B88" s="26"/>
      <c r="C88" s="26"/>
      <c r="D88" s="27"/>
      <c r="E88" s="26"/>
      <c r="F88" s="26"/>
      <c r="G88" s="27"/>
      <c r="H88" s="26"/>
      <c r="I88" s="26"/>
      <c r="J88" s="26"/>
      <c r="K88" s="26"/>
      <c r="L88" s="30"/>
      <c r="M88" s="35"/>
    </row>
    <row r="89" spans="1:13" ht="12.75" hidden="1">
      <c r="A89" s="56" t="s">
        <v>60</v>
      </c>
      <c r="B89" s="26"/>
      <c r="C89" s="26"/>
      <c r="D89" s="27" t="e">
        <f t="shared" si="8"/>
        <v>#DIV/0!</v>
      </c>
      <c r="E89" s="26"/>
      <c r="F89" s="26"/>
      <c r="G89" s="27" t="e">
        <f t="shared" si="9"/>
        <v>#DIV/0!</v>
      </c>
      <c r="H89" s="26"/>
      <c r="I89" s="26"/>
      <c r="J89" s="26"/>
      <c r="K89" s="26"/>
      <c r="L89" s="30"/>
      <c r="M89" s="35"/>
    </row>
    <row r="90" spans="1:13" ht="12.75">
      <c r="A90" s="56" t="s">
        <v>61</v>
      </c>
      <c r="B90" s="26"/>
      <c r="C90" s="26"/>
      <c r="D90" s="27"/>
      <c r="E90" s="26">
        <v>99</v>
      </c>
      <c r="F90" s="26"/>
      <c r="G90" s="27">
        <f t="shared" si="9"/>
        <v>0</v>
      </c>
      <c r="H90" s="26">
        <v>99</v>
      </c>
      <c r="I90" s="26"/>
      <c r="J90" s="28">
        <f aca="true" t="shared" si="13" ref="J90:J124">I90/H90*100</f>
        <v>0</v>
      </c>
      <c r="K90" s="26"/>
      <c r="L90" s="30"/>
      <c r="M90" s="37"/>
    </row>
    <row r="91" spans="1:13" ht="12.75">
      <c r="A91" s="57" t="s">
        <v>9</v>
      </c>
      <c r="B91" s="23">
        <f>SUM(B92:B97)</f>
        <v>147197.69999999998</v>
      </c>
      <c r="C91" s="23">
        <f>SUM(C92:C97)</f>
        <v>150733.69999999998</v>
      </c>
      <c r="D91" s="24">
        <f t="shared" si="8"/>
        <v>102.40221144759735</v>
      </c>
      <c r="E91" s="23">
        <f>SUM(E92:E97)</f>
        <v>339483.2</v>
      </c>
      <c r="F91" s="23">
        <f>SUM(F92:F97)</f>
        <v>334181.89999999997</v>
      </c>
      <c r="G91" s="24">
        <f t="shared" si="9"/>
        <v>98.43842051683262</v>
      </c>
      <c r="H91" s="23">
        <f>SUM(H92:H97)</f>
        <v>468883.79999999993</v>
      </c>
      <c r="I91" s="23">
        <f>SUM(I92:I97)</f>
        <v>469713.1</v>
      </c>
      <c r="J91" s="31">
        <f t="shared" si="13"/>
        <v>100.17686684846012</v>
      </c>
      <c r="K91" s="23">
        <f>SUM(K92:K97)</f>
        <v>613633.2999999999</v>
      </c>
      <c r="L91" s="23">
        <f>SUM(L92:L97)</f>
        <v>627424.0000000001</v>
      </c>
      <c r="M91" s="36">
        <f aca="true" t="shared" si="14" ref="M91:M97">L91/K91*100</f>
        <v>102.24738455360884</v>
      </c>
    </row>
    <row r="92" spans="1:13" ht="12.75">
      <c r="A92" s="56" t="s">
        <v>62</v>
      </c>
      <c r="B92" s="26">
        <v>56635.3</v>
      </c>
      <c r="C92" s="26">
        <v>58258.5</v>
      </c>
      <c r="D92" s="27">
        <f t="shared" si="8"/>
        <v>102.86605703510001</v>
      </c>
      <c r="E92" s="26">
        <v>124302.4</v>
      </c>
      <c r="F92" s="26">
        <v>125094.5</v>
      </c>
      <c r="G92" s="27">
        <f t="shared" si="9"/>
        <v>100.63723628827763</v>
      </c>
      <c r="H92" s="26">
        <v>178851.3</v>
      </c>
      <c r="I92" s="26">
        <v>184848.8</v>
      </c>
      <c r="J92" s="26"/>
      <c r="K92" s="26">
        <v>233402.7</v>
      </c>
      <c r="L92" s="30">
        <v>242449.3</v>
      </c>
      <c r="M92" s="37">
        <f t="shared" si="14"/>
        <v>103.87596201757734</v>
      </c>
    </row>
    <row r="93" spans="1:13" ht="12.75">
      <c r="A93" s="56" t="s">
        <v>63</v>
      </c>
      <c r="B93" s="26">
        <f>70792+12293.6+775.9</f>
        <v>83861.5</v>
      </c>
      <c r="C93" s="26">
        <f>72937.6+12062.7+846.5</f>
        <v>85846.8</v>
      </c>
      <c r="D93" s="27">
        <f t="shared" si="8"/>
        <v>102.3673556995761</v>
      </c>
      <c r="E93" s="26">
        <f>167509.1+31313.7+1730.5</f>
        <v>200553.30000000002</v>
      </c>
      <c r="F93" s="26">
        <f>163864.6+29029.6+1891.4</f>
        <v>194785.6</v>
      </c>
      <c r="G93" s="27">
        <f t="shared" si="9"/>
        <v>97.1241061603075</v>
      </c>
      <c r="H93" s="26">
        <f>226566.1+37365.8+2432.8+0.1</f>
        <v>266364.8</v>
      </c>
      <c r="I93" s="26">
        <v>262229</v>
      </c>
      <c r="J93" s="28">
        <f t="shared" si="13"/>
        <v>98.44731736325521</v>
      </c>
      <c r="K93" s="26">
        <f>50789.2+293798.3+3374.1-0.2</f>
        <v>347961.39999999997</v>
      </c>
      <c r="L93" s="30">
        <v>353006</v>
      </c>
      <c r="M93" s="37">
        <f t="shared" si="14"/>
        <v>101.44975850769656</v>
      </c>
    </row>
    <row r="94" spans="1:13" ht="12.75" hidden="1">
      <c r="A94" s="56" t="s">
        <v>64</v>
      </c>
      <c r="B94" s="26"/>
      <c r="C94" s="26"/>
      <c r="D94" s="27" t="e">
        <f t="shared" si="8"/>
        <v>#DIV/0!</v>
      </c>
      <c r="E94" s="26"/>
      <c r="F94" s="26"/>
      <c r="G94" s="27" t="e">
        <f t="shared" si="9"/>
        <v>#DIV/0!</v>
      </c>
      <c r="H94" s="26"/>
      <c r="I94" s="26"/>
      <c r="J94" s="26"/>
      <c r="K94" s="26"/>
      <c r="L94" s="30"/>
      <c r="M94" s="37" t="e">
        <f t="shared" si="14"/>
        <v>#DIV/0!</v>
      </c>
    </row>
    <row r="95" spans="1:13" ht="12.75">
      <c r="A95" s="56" t="s">
        <v>65</v>
      </c>
      <c r="B95" s="26">
        <v>60.4</v>
      </c>
      <c r="C95" s="26">
        <v>41</v>
      </c>
      <c r="D95" s="27">
        <f t="shared" si="8"/>
        <v>67.88079470198676</v>
      </c>
      <c r="E95" s="26">
        <v>152.8</v>
      </c>
      <c r="F95" s="26">
        <v>41</v>
      </c>
      <c r="G95" s="27">
        <f t="shared" si="9"/>
        <v>26.83246073298429</v>
      </c>
      <c r="H95" s="26">
        <v>184.8</v>
      </c>
      <c r="I95" s="26">
        <v>93</v>
      </c>
      <c r="J95" s="28">
        <f t="shared" si="13"/>
        <v>50.32467532467532</v>
      </c>
      <c r="K95" s="26">
        <v>198.4</v>
      </c>
      <c r="L95" s="30">
        <v>260.8</v>
      </c>
      <c r="M95" s="37">
        <f t="shared" si="14"/>
        <v>131.4516129032258</v>
      </c>
    </row>
    <row r="96" spans="1:13" ht="12.75">
      <c r="A96" s="56" t="s">
        <v>125</v>
      </c>
      <c r="B96" s="26">
        <f>6.8</f>
        <v>6.8</v>
      </c>
      <c r="C96" s="26">
        <f>1.5</f>
        <v>1.5</v>
      </c>
      <c r="D96" s="27">
        <f t="shared" si="8"/>
        <v>22.058823529411764</v>
      </c>
      <c r="E96" s="26">
        <f>2.5+118.7</f>
        <v>121.2</v>
      </c>
      <c r="F96" s="26">
        <f>9.2</f>
        <v>9.2</v>
      </c>
      <c r="G96" s="27">
        <f t="shared" si="9"/>
        <v>7.59075907590759</v>
      </c>
      <c r="H96" s="26">
        <f>2.5+470.3</f>
        <v>472.8</v>
      </c>
      <c r="I96" s="26">
        <v>150.3</v>
      </c>
      <c r="J96" s="28">
        <f t="shared" si="13"/>
        <v>31.789340101522846</v>
      </c>
      <c r="K96" s="26">
        <f>2.5+473.1+0.1</f>
        <v>475.70000000000005</v>
      </c>
      <c r="L96" s="30">
        <v>150.8</v>
      </c>
      <c r="M96" s="37">
        <f t="shared" si="14"/>
        <v>31.700651671221358</v>
      </c>
    </row>
    <row r="97" spans="1:13" ht="12.75">
      <c r="A97" s="56" t="s">
        <v>126</v>
      </c>
      <c r="B97" s="26">
        <f>6633.7</f>
        <v>6633.7</v>
      </c>
      <c r="C97" s="26">
        <f>6585.9</f>
        <v>6585.9</v>
      </c>
      <c r="D97" s="27">
        <f t="shared" si="8"/>
        <v>99.27943681505043</v>
      </c>
      <c r="E97" s="26">
        <f>14353.5</f>
        <v>14353.5</v>
      </c>
      <c r="F97" s="26">
        <f>14251.6</f>
        <v>14251.6</v>
      </c>
      <c r="G97" s="27">
        <f t="shared" si="9"/>
        <v>99.29006862437734</v>
      </c>
      <c r="H97" s="26">
        <f>23010.1</f>
        <v>23010.1</v>
      </c>
      <c r="I97" s="26">
        <v>22392</v>
      </c>
      <c r="J97" s="28">
        <f t="shared" si="13"/>
        <v>97.313788292967</v>
      </c>
      <c r="K97" s="26">
        <f>31595.1</f>
        <v>31595.1</v>
      </c>
      <c r="L97" s="30">
        <v>31557.1</v>
      </c>
      <c r="M97" s="37">
        <f t="shared" si="14"/>
        <v>99.87972818569968</v>
      </c>
    </row>
    <row r="98" spans="1:13" ht="12.75">
      <c r="A98" s="57" t="s">
        <v>38</v>
      </c>
      <c r="B98" s="23">
        <f>B99+B100+B101</f>
        <v>13505.7</v>
      </c>
      <c r="C98" s="23">
        <f>C99+C100+C101</f>
        <v>13547.2</v>
      </c>
      <c r="D98" s="24">
        <f t="shared" si="8"/>
        <v>100.3072776679476</v>
      </c>
      <c r="E98" s="23">
        <f>E99+E100+E101</f>
        <v>29834.300000000003</v>
      </c>
      <c r="F98" s="23">
        <f>F99+F100+F101</f>
        <v>29219.4</v>
      </c>
      <c r="G98" s="24">
        <f t="shared" si="9"/>
        <v>97.9389494642073</v>
      </c>
      <c r="H98" s="23">
        <f>H99+H100+H101</f>
        <v>44425.4</v>
      </c>
      <c r="I98" s="23">
        <f>I99+I100+I101</f>
        <v>43047.3</v>
      </c>
      <c r="J98" s="31">
        <f t="shared" si="13"/>
        <v>96.89794576976234</v>
      </c>
      <c r="K98" s="23">
        <f>K99+K100+K101</f>
        <v>59765.7</v>
      </c>
      <c r="L98" s="23">
        <f>L99+L100+L101</f>
        <v>56686.9</v>
      </c>
      <c r="M98" s="36">
        <f aca="true" t="shared" si="15" ref="M98:M104">L98/K98*100</f>
        <v>94.84855025541407</v>
      </c>
    </row>
    <row r="99" spans="1:13" ht="12.75">
      <c r="A99" s="56" t="s">
        <v>66</v>
      </c>
      <c r="B99" s="26">
        <v>11036</v>
      </c>
      <c r="C99" s="26">
        <v>11168.2</v>
      </c>
      <c r="D99" s="27">
        <f t="shared" si="8"/>
        <v>101.19789778905401</v>
      </c>
      <c r="E99" s="26">
        <v>24694.2</v>
      </c>
      <c r="F99" s="26">
        <v>23601</v>
      </c>
      <c r="G99" s="27">
        <f t="shared" si="9"/>
        <v>95.57304954199772</v>
      </c>
      <c r="H99" s="26">
        <v>36361.3</v>
      </c>
      <c r="I99" s="26">
        <v>34658.6</v>
      </c>
      <c r="J99" s="28">
        <f t="shared" si="13"/>
        <v>95.31727413486315</v>
      </c>
      <c r="K99" s="26">
        <v>48529.6</v>
      </c>
      <c r="L99" s="30">
        <v>45262.4</v>
      </c>
      <c r="M99" s="37">
        <f t="shared" si="15"/>
        <v>93.26761399228512</v>
      </c>
    </row>
    <row r="100" spans="1:13" ht="12.75" hidden="1">
      <c r="A100" s="56" t="s">
        <v>67</v>
      </c>
      <c r="B100" s="26"/>
      <c r="C100" s="26"/>
      <c r="D100" s="27" t="e">
        <f t="shared" si="8"/>
        <v>#DIV/0!</v>
      </c>
      <c r="E100" s="26"/>
      <c r="F100" s="26"/>
      <c r="G100" s="27" t="e">
        <f t="shared" si="9"/>
        <v>#DIV/0!</v>
      </c>
      <c r="H100" s="26"/>
      <c r="I100" s="26"/>
      <c r="J100" s="28" t="e">
        <f t="shared" si="13"/>
        <v>#DIV/0!</v>
      </c>
      <c r="K100" s="26"/>
      <c r="L100" s="30"/>
      <c r="M100" s="37" t="e">
        <f t="shared" si="15"/>
        <v>#DIV/0!</v>
      </c>
    </row>
    <row r="101" spans="1:13" ht="12.75">
      <c r="A101" s="56" t="s">
        <v>68</v>
      </c>
      <c r="B101" s="26">
        <v>2469.7</v>
      </c>
      <c r="C101" s="26">
        <v>2379</v>
      </c>
      <c r="D101" s="27">
        <f t="shared" si="8"/>
        <v>96.32748916872495</v>
      </c>
      <c r="E101" s="26">
        <v>5140.1</v>
      </c>
      <c r="F101" s="26">
        <v>5618.4</v>
      </c>
      <c r="G101" s="27">
        <f t="shared" si="9"/>
        <v>109.30526643450516</v>
      </c>
      <c r="H101" s="26">
        <v>8064.1</v>
      </c>
      <c r="I101" s="26">
        <v>8388.7</v>
      </c>
      <c r="J101" s="28">
        <f t="shared" si="13"/>
        <v>104.02524770278147</v>
      </c>
      <c r="K101" s="26">
        <v>11236.1</v>
      </c>
      <c r="L101" s="30">
        <v>11424.5</v>
      </c>
      <c r="M101" s="37">
        <f t="shared" si="15"/>
        <v>101.67673837007503</v>
      </c>
    </row>
    <row r="102" spans="1:13" ht="12.75">
      <c r="A102" s="57" t="s">
        <v>69</v>
      </c>
      <c r="B102" s="23">
        <f>SUM(B103:B110)</f>
        <v>6790.4</v>
      </c>
      <c r="C102" s="23">
        <f>SUM(C103:C110)</f>
        <v>4758</v>
      </c>
      <c r="D102" s="24">
        <f t="shared" si="8"/>
        <v>70.06950989632422</v>
      </c>
      <c r="E102" s="23">
        <f>SUM(E103:E110)</f>
        <v>16542.7</v>
      </c>
      <c r="F102" s="23">
        <f>SUM(F103:F110)</f>
        <v>13104.7</v>
      </c>
      <c r="G102" s="24">
        <f t="shared" si="9"/>
        <v>79.2174191637399</v>
      </c>
      <c r="H102" s="23">
        <f>SUM(H103:H110)</f>
        <v>25855.3</v>
      </c>
      <c r="I102" s="23">
        <f>SUM(I103:I110)</f>
        <v>20247.5</v>
      </c>
      <c r="J102" s="31">
        <f t="shared" si="13"/>
        <v>78.31082988787598</v>
      </c>
      <c r="K102" s="23">
        <f>SUM(K103:K110)</f>
        <v>38373.4</v>
      </c>
      <c r="L102" s="23">
        <f>SUM(L103:L110)</f>
        <v>27417.3</v>
      </c>
      <c r="M102" s="36">
        <f t="shared" si="15"/>
        <v>71.44871186811697</v>
      </c>
    </row>
    <row r="103" spans="1:13" ht="12.75">
      <c r="A103" s="56" t="s">
        <v>70</v>
      </c>
      <c r="B103" s="26">
        <v>1444.3</v>
      </c>
      <c r="C103" s="26">
        <v>987.1</v>
      </c>
      <c r="D103" s="27">
        <f t="shared" si="8"/>
        <v>68.34452676036835</v>
      </c>
      <c r="E103" s="26">
        <v>3001</v>
      </c>
      <c r="F103" s="26">
        <v>4686.2</v>
      </c>
      <c r="G103" s="27">
        <f t="shared" si="9"/>
        <v>156.15461512829057</v>
      </c>
      <c r="H103" s="26">
        <v>3895.7</v>
      </c>
      <c r="I103" s="26">
        <v>7658.5</v>
      </c>
      <c r="J103" s="28">
        <f t="shared" si="13"/>
        <v>196.5885463459712</v>
      </c>
      <c r="K103" s="26">
        <v>5284.5</v>
      </c>
      <c r="L103" s="30">
        <v>9267.6</v>
      </c>
      <c r="M103" s="37">
        <f t="shared" si="15"/>
        <v>175.37326142492196</v>
      </c>
    </row>
    <row r="104" spans="1:13" ht="12.75">
      <c r="A104" s="56" t="s">
        <v>71</v>
      </c>
      <c r="B104" s="26">
        <v>3650.6</v>
      </c>
      <c r="C104" s="26">
        <v>2060.8</v>
      </c>
      <c r="D104" s="27">
        <f t="shared" si="8"/>
        <v>56.450994357091986</v>
      </c>
      <c r="E104" s="26">
        <v>10207.2</v>
      </c>
      <c r="F104" s="26">
        <v>5285.2</v>
      </c>
      <c r="G104" s="27">
        <f t="shared" si="9"/>
        <v>51.77913629594795</v>
      </c>
      <c r="H104" s="26">
        <v>16902.6</v>
      </c>
      <c r="I104" s="26">
        <v>7758.7</v>
      </c>
      <c r="J104" s="28">
        <f t="shared" si="13"/>
        <v>45.9024055470756</v>
      </c>
      <c r="K104" s="26">
        <v>26399.9</v>
      </c>
      <c r="L104" s="30">
        <v>10644.9</v>
      </c>
      <c r="M104" s="37">
        <f t="shared" si="15"/>
        <v>40.321743642968336</v>
      </c>
    </row>
    <row r="105" spans="1:13" ht="12.75" hidden="1">
      <c r="A105" s="56" t="s">
        <v>72</v>
      </c>
      <c r="B105" s="26"/>
      <c r="C105" s="26"/>
      <c r="D105" s="27" t="e">
        <f t="shared" si="8"/>
        <v>#DIV/0!</v>
      </c>
      <c r="E105" s="26"/>
      <c r="F105" s="26"/>
      <c r="G105" s="27" t="e">
        <f t="shared" si="9"/>
        <v>#DIV/0!</v>
      </c>
      <c r="H105" s="26"/>
      <c r="I105" s="26"/>
      <c r="J105" s="28" t="e">
        <f t="shared" si="13"/>
        <v>#DIV/0!</v>
      </c>
      <c r="K105" s="26"/>
      <c r="L105" s="30"/>
      <c r="M105" s="35"/>
    </row>
    <row r="106" spans="1:13" ht="12.75" hidden="1">
      <c r="A106" s="56" t="s">
        <v>73</v>
      </c>
      <c r="B106" s="26"/>
      <c r="C106" s="26"/>
      <c r="D106" s="32" t="s">
        <v>39</v>
      </c>
      <c r="E106" s="26"/>
      <c r="F106" s="26"/>
      <c r="G106" s="27" t="e">
        <f t="shared" si="9"/>
        <v>#DIV/0!</v>
      </c>
      <c r="H106" s="26"/>
      <c r="I106" s="26"/>
      <c r="J106" s="28" t="e">
        <f t="shared" si="13"/>
        <v>#DIV/0!</v>
      </c>
      <c r="K106" s="26"/>
      <c r="L106" s="30"/>
      <c r="M106" s="35"/>
    </row>
    <row r="107" spans="1:13" ht="12.75" hidden="1">
      <c r="A107" s="56" t="s">
        <v>74</v>
      </c>
      <c r="B107" s="26"/>
      <c r="C107" s="26"/>
      <c r="D107" s="27" t="e">
        <f t="shared" si="8"/>
        <v>#DIV/0!</v>
      </c>
      <c r="E107" s="26"/>
      <c r="F107" s="26"/>
      <c r="G107" s="27" t="e">
        <f t="shared" si="9"/>
        <v>#DIV/0!</v>
      </c>
      <c r="H107" s="26"/>
      <c r="I107" s="26"/>
      <c r="J107" s="28" t="e">
        <f t="shared" si="13"/>
        <v>#DIV/0!</v>
      </c>
      <c r="K107" s="26"/>
      <c r="L107" s="30"/>
      <c r="M107" s="35"/>
    </row>
    <row r="108" spans="1:13" ht="25.5" hidden="1">
      <c r="A108" s="56" t="s">
        <v>75</v>
      </c>
      <c r="B108" s="26"/>
      <c r="C108" s="26"/>
      <c r="D108" s="27" t="e">
        <f t="shared" si="8"/>
        <v>#DIV/0!</v>
      </c>
      <c r="E108" s="26"/>
      <c r="F108" s="26"/>
      <c r="G108" s="27" t="e">
        <f t="shared" si="9"/>
        <v>#DIV/0!</v>
      </c>
      <c r="H108" s="26"/>
      <c r="I108" s="26"/>
      <c r="J108" s="28" t="e">
        <f t="shared" si="13"/>
        <v>#DIV/0!</v>
      </c>
      <c r="K108" s="26"/>
      <c r="L108" s="30"/>
      <c r="M108" s="35"/>
    </row>
    <row r="109" spans="1:13" ht="15" customHeight="1" hidden="1">
      <c r="A109" s="56" t="s">
        <v>76</v>
      </c>
      <c r="B109" s="26"/>
      <c r="C109" s="26"/>
      <c r="D109" s="27" t="e">
        <f t="shared" si="8"/>
        <v>#DIV/0!</v>
      </c>
      <c r="E109" s="26"/>
      <c r="F109" s="26"/>
      <c r="G109" s="27" t="e">
        <f t="shared" si="9"/>
        <v>#DIV/0!</v>
      </c>
      <c r="H109" s="26"/>
      <c r="I109" s="26"/>
      <c r="J109" s="28" t="e">
        <f t="shared" si="13"/>
        <v>#DIV/0!</v>
      </c>
      <c r="K109" s="26"/>
      <c r="L109" s="30"/>
      <c r="M109" s="35"/>
    </row>
    <row r="110" spans="1:13" ht="12.75">
      <c r="A110" s="56" t="s">
        <v>77</v>
      </c>
      <c r="B110" s="26">
        <v>1695.5</v>
      </c>
      <c r="C110" s="26">
        <f>1710.1</f>
        <v>1710.1</v>
      </c>
      <c r="D110" s="27">
        <f t="shared" si="8"/>
        <v>100.86110291949278</v>
      </c>
      <c r="E110" s="26">
        <v>3334.5</v>
      </c>
      <c r="F110" s="26">
        <v>3133.3</v>
      </c>
      <c r="G110" s="27">
        <f t="shared" si="9"/>
        <v>93.96611186084871</v>
      </c>
      <c r="H110" s="26">
        <v>5057</v>
      </c>
      <c r="I110" s="26">
        <v>4830.3</v>
      </c>
      <c r="J110" s="28">
        <f t="shared" si="13"/>
        <v>95.51710500296619</v>
      </c>
      <c r="K110" s="26">
        <v>6689</v>
      </c>
      <c r="L110" s="30">
        <v>7504.8</v>
      </c>
      <c r="M110" s="37">
        <f>L110/K110*100</f>
        <v>112.19614292121393</v>
      </c>
    </row>
    <row r="111" spans="1:13" ht="12.75">
      <c r="A111" s="57" t="s">
        <v>10</v>
      </c>
      <c r="B111" s="23">
        <f>SUM(B112:B116)</f>
        <v>95302.4</v>
      </c>
      <c r="C111" s="23">
        <f>SUM(C112:C116)</f>
        <v>93756.09999999999</v>
      </c>
      <c r="D111" s="24">
        <f t="shared" si="8"/>
        <v>98.37748052514942</v>
      </c>
      <c r="E111" s="23">
        <f>SUM(E112:E116)</f>
        <v>201379.7</v>
      </c>
      <c r="F111" s="23">
        <f>SUM(F112:F116)</f>
        <v>198949.4</v>
      </c>
      <c r="G111" s="24">
        <f t="shared" si="9"/>
        <v>98.79317528032865</v>
      </c>
      <c r="H111" s="23">
        <f>SUM(H112:H116)</f>
        <v>301385.7</v>
      </c>
      <c r="I111" s="23">
        <f>SUM(I112:I116)</f>
        <v>294007.4</v>
      </c>
      <c r="J111" s="31">
        <f t="shared" si="13"/>
        <v>97.55187455808289</v>
      </c>
      <c r="K111" s="23">
        <f>SUM(K112:K116)</f>
        <v>408419.5</v>
      </c>
      <c r="L111" s="23">
        <f>SUM(L112:L116)</f>
        <v>390123.1</v>
      </c>
      <c r="M111" s="36">
        <f aca="true" t="shared" si="16" ref="M111:M116">L111/K111*100</f>
        <v>95.52019431001703</v>
      </c>
    </row>
    <row r="112" spans="1:13" ht="12.75">
      <c r="A112" s="56" t="s">
        <v>78</v>
      </c>
      <c r="B112" s="26">
        <v>606.7</v>
      </c>
      <c r="C112" s="26">
        <v>438.6</v>
      </c>
      <c r="D112" s="27">
        <f t="shared" si="8"/>
        <v>72.29273116861711</v>
      </c>
      <c r="E112" s="26">
        <v>1220.9</v>
      </c>
      <c r="F112" s="26">
        <v>1354</v>
      </c>
      <c r="G112" s="27">
        <f t="shared" si="9"/>
        <v>110.9017937587026</v>
      </c>
      <c r="H112" s="26">
        <v>1841.9</v>
      </c>
      <c r="I112" s="26">
        <v>2109.9</v>
      </c>
      <c r="J112" s="28">
        <f t="shared" si="13"/>
        <v>114.550192735762</v>
      </c>
      <c r="K112" s="26">
        <v>2492.6</v>
      </c>
      <c r="L112" s="30">
        <v>2911.1</v>
      </c>
      <c r="M112" s="37">
        <f t="shared" si="16"/>
        <v>116.78969750461366</v>
      </c>
    </row>
    <row r="113" spans="1:13" ht="12.75">
      <c r="A113" s="56" t="s">
        <v>79</v>
      </c>
      <c r="B113" s="26">
        <v>17350.3</v>
      </c>
      <c r="C113" s="26">
        <v>18044.9</v>
      </c>
      <c r="D113" s="27">
        <f t="shared" si="8"/>
        <v>104.00338899039212</v>
      </c>
      <c r="E113" s="26">
        <v>34976.4</v>
      </c>
      <c r="F113" s="26">
        <v>34544.3</v>
      </c>
      <c r="G113" s="27">
        <f t="shared" si="9"/>
        <v>98.76459555586052</v>
      </c>
      <c r="H113" s="26">
        <v>51860.9</v>
      </c>
      <c r="I113" s="26">
        <v>50311.6</v>
      </c>
      <c r="J113" s="28">
        <f t="shared" si="13"/>
        <v>97.01258558952891</v>
      </c>
      <c r="K113" s="26">
        <v>68133.7</v>
      </c>
      <c r="L113" s="30">
        <v>65479.2</v>
      </c>
      <c r="M113" s="37">
        <f t="shared" si="16"/>
        <v>96.10398378482307</v>
      </c>
    </row>
    <row r="114" spans="1:13" ht="12.75">
      <c r="A114" s="56" t="s">
        <v>127</v>
      </c>
      <c r="B114" s="26">
        <f>1700.5+47.3+31+60414.6</f>
        <v>62193.4</v>
      </c>
      <c r="C114" s="26">
        <f>2400.8+42.2+453.4+45284.3+0.1</f>
        <v>48180.8</v>
      </c>
      <c r="D114" s="27">
        <f t="shared" si="8"/>
        <v>77.46931346412964</v>
      </c>
      <c r="E114" s="26">
        <f>2645.3+3877.9+95.9+481.3+124163.9+0.1</f>
        <v>131264.4</v>
      </c>
      <c r="F114" s="26">
        <f>2318+4981.8+94.6+920.9+87860.2-0.1</f>
        <v>96175.4</v>
      </c>
      <c r="G114" s="27">
        <f t="shared" si="9"/>
        <v>73.2684566417094</v>
      </c>
      <c r="H114" s="26">
        <f>2645.3+5113.3+142.5+505.8+188658-0.3</f>
        <v>197064.6</v>
      </c>
      <c r="I114" s="26">
        <v>145798.4</v>
      </c>
      <c r="J114" s="28">
        <f t="shared" si="13"/>
        <v>73.98507900454977</v>
      </c>
      <c r="K114" s="26">
        <f>5727.2+188.5+561.2+7302.5+257184.6</f>
        <v>270964</v>
      </c>
      <c r="L114" s="30">
        <v>199639.4</v>
      </c>
      <c r="M114" s="37">
        <f t="shared" si="16"/>
        <v>73.67746268877046</v>
      </c>
    </row>
    <row r="115" spans="1:13" ht="12.75">
      <c r="A115" s="56" t="s">
        <v>128</v>
      </c>
      <c r="B115" s="26">
        <f>6478.2+3658.3</f>
        <v>10136.5</v>
      </c>
      <c r="C115" s="26">
        <f>6583.3+16132.3+1000</f>
        <v>23715.6</v>
      </c>
      <c r="D115" s="27" t="s">
        <v>133</v>
      </c>
      <c r="E115" s="26">
        <f>2939.4+13022.8+7885.6</f>
        <v>23847.8</v>
      </c>
      <c r="F115" s="26">
        <f>12811.2+13441.9+33345.8</f>
        <v>59598.9</v>
      </c>
      <c r="G115" s="27" t="s">
        <v>133</v>
      </c>
      <c r="H115" s="26">
        <f>4687.4+18751.7+12932.7</f>
        <v>36371.8</v>
      </c>
      <c r="I115" s="38">
        <v>84281.5</v>
      </c>
      <c r="J115" s="28">
        <f t="shared" si="13"/>
        <v>231.72210338778942</v>
      </c>
      <c r="K115" s="26">
        <f>6232.4+25409.3+17775.8</f>
        <v>49417.5</v>
      </c>
      <c r="L115" s="30">
        <v>106854.4</v>
      </c>
      <c r="M115" s="37">
        <f t="shared" si="16"/>
        <v>216.22785450498304</v>
      </c>
    </row>
    <row r="116" spans="1:13" ht="12.75">
      <c r="A116" s="56" t="s">
        <v>80</v>
      </c>
      <c r="B116" s="26">
        <v>5015.5</v>
      </c>
      <c r="C116" s="26">
        <v>3376.2</v>
      </c>
      <c r="D116" s="27">
        <f t="shared" si="8"/>
        <v>67.31532250024922</v>
      </c>
      <c r="E116" s="26">
        <v>10070.2</v>
      </c>
      <c r="F116" s="26">
        <v>7276.8</v>
      </c>
      <c r="G116" s="27">
        <f t="shared" si="9"/>
        <v>72.26072967766281</v>
      </c>
      <c r="H116" s="26">
        <v>14246.5</v>
      </c>
      <c r="I116" s="38">
        <v>11506</v>
      </c>
      <c r="J116" s="28">
        <f t="shared" si="13"/>
        <v>80.76369634647106</v>
      </c>
      <c r="K116" s="26">
        <v>17411.7</v>
      </c>
      <c r="L116" s="30">
        <v>15239</v>
      </c>
      <c r="M116" s="37">
        <f t="shared" si="16"/>
        <v>87.52160903300654</v>
      </c>
    </row>
    <row r="117" spans="1:13" ht="12.75">
      <c r="A117" s="57" t="s">
        <v>36</v>
      </c>
      <c r="B117" s="23">
        <f>SUM(B118:B121)</f>
        <v>4217.5</v>
      </c>
      <c r="C117" s="23">
        <f>SUM(C118:C121)</f>
        <v>5584.2</v>
      </c>
      <c r="D117" s="24">
        <f t="shared" si="8"/>
        <v>132.40545346769412</v>
      </c>
      <c r="E117" s="23">
        <f>SUM(E118:E121)</f>
        <v>9586.5</v>
      </c>
      <c r="F117" s="23">
        <f>SUM(F118:F121)</f>
        <v>11297.8</v>
      </c>
      <c r="G117" s="24">
        <f t="shared" si="9"/>
        <v>117.85114483909665</v>
      </c>
      <c r="H117" s="23">
        <f>SUM(H118:H121)</f>
        <v>14554.6</v>
      </c>
      <c r="I117" s="23">
        <f>SUM(I118:I121)</f>
        <v>16670.2</v>
      </c>
      <c r="J117" s="31">
        <f t="shared" si="13"/>
        <v>114.53561073475053</v>
      </c>
      <c r="K117" s="23">
        <f>SUM(K118:K121)</f>
        <v>20158.9</v>
      </c>
      <c r="L117" s="23">
        <f>SUM(L118:L121)</f>
        <v>22434.4</v>
      </c>
      <c r="M117" s="36">
        <f aca="true" t="shared" si="17" ref="M117:M122">L117/K117*100</f>
        <v>111.28781828373573</v>
      </c>
    </row>
    <row r="118" spans="1:13" ht="12.75">
      <c r="A118" s="56" t="s">
        <v>81</v>
      </c>
      <c r="B118" s="26">
        <v>4217.5</v>
      </c>
      <c r="C118" s="26">
        <v>5584.2</v>
      </c>
      <c r="D118" s="27">
        <f t="shared" si="8"/>
        <v>132.40545346769412</v>
      </c>
      <c r="E118" s="26">
        <v>9586.5</v>
      </c>
      <c r="F118" s="26">
        <v>11297.8</v>
      </c>
      <c r="G118" s="27">
        <f t="shared" si="9"/>
        <v>117.85114483909665</v>
      </c>
      <c r="H118" s="26">
        <v>14554.6</v>
      </c>
      <c r="I118" s="38">
        <v>16670.2</v>
      </c>
      <c r="J118" s="28">
        <f t="shared" si="13"/>
        <v>114.53561073475053</v>
      </c>
      <c r="K118" s="26">
        <v>20158.9</v>
      </c>
      <c r="L118" s="30">
        <v>22434.4</v>
      </c>
      <c r="M118" s="37">
        <f t="shared" si="17"/>
        <v>111.28781828373573</v>
      </c>
    </row>
    <row r="119" spans="1:13" ht="12.75" hidden="1">
      <c r="A119" s="56" t="s">
        <v>82</v>
      </c>
      <c r="B119" s="26"/>
      <c r="C119" s="26"/>
      <c r="D119" s="32" t="s">
        <v>39</v>
      </c>
      <c r="E119" s="26"/>
      <c r="F119" s="26"/>
      <c r="G119" s="27" t="e">
        <f t="shared" si="9"/>
        <v>#DIV/0!</v>
      </c>
      <c r="H119" s="26"/>
      <c r="I119" s="26"/>
      <c r="J119" s="28" t="e">
        <f t="shared" si="13"/>
        <v>#DIV/0!</v>
      </c>
      <c r="K119" s="26"/>
      <c r="L119" s="30"/>
      <c r="M119" s="37" t="e">
        <f t="shared" si="17"/>
        <v>#DIV/0!</v>
      </c>
    </row>
    <row r="120" spans="1:13" ht="12.75" hidden="1">
      <c r="A120" s="56" t="s">
        <v>83</v>
      </c>
      <c r="B120" s="26"/>
      <c r="C120" s="26"/>
      <c r="D120" s="27" t="e">
        <f t="shared" si="8"/>
        <v>#DIV/0!</v>
      </c>
      <c r="E120" s="26"/>
      <c r="F120" s="26"/>
      <c r="G120" s="27" t="e">
        <f t="shared" si="9"/>
        <v>#DIV/0!</v>
      </c>
      <c r="H120" s="26"/>
      <c r="I120" s="26"/>
      <c r="J120" s="28" t="e">
        <f t="shared" si="13"/>
        <v>#DIV/0!</v>
      </c>
      <c r="K120" s="26"/>
      <c r="L120" s="30"/>
      <c r="M120" s="37" t="e">
        <f t="shared" si="17"/>
        <v>#DIV/0!</v>
      </c>
    </row>
    <row r="121" spans="1:13" ht="12.75" hidden="1">
      <c r="A121" s="56" t="s">
        <v>84</v>
      </c>
      <c r="B121" s="26"/>
      <c r="C121" s="26"/>
      <c r="D121" s="27" t="e">
        <f t="shared" si="8"/>
        <v>#DIV/0!</v>
      </c>
      <c r="E121" s="26"/>
      <c r="F121" s="26"/>
      <c r="G121" s="27" t="e">
        <f t="shared" si="9"/>
        <v>#DIV/0!</v>
      </c>
      <c r="H121" s="26"/>
      <c r="I121" s="26"/>
      <c r="J121" s="28" t="e">
        <f t="shared" si="13"/>
        <v>#DIV/0!</v>
      </c>
      <c r="K121" s="26"/>
      <c r="L121" s="30"/>
      <c r="M121" s="37" t="e">
        <f t="shared" si="17"/>
        <v>#DIV/0!</v>
      </c>
    </row>
    <row r="122" spans="1:13" ht="12.75">
      <c r="A122" s="57" t="s">
        <v>37</v>
      </c>
      <c r="B122" s="23">
        <f>SUM(B123:B125)</f>
        <v>1683.3</v>
      </c>
      <c r="C122" s="23">
        <f>SUM(C123:C125)</f>
        <v>1188.2</v>
      </c>
      <c r="D122" s="24">
        <f t="shared" si="8"/>
        <v>70.58753638685916</v>
      </c>
      <c r="E122" s="23">
        <f>SUM(E123:E125)</f>
        <v>3306.5</v>
      </c>
      <c r="F122" s="23">
        <f>SUM(F123:F125)</f>
        <v>3006.5</v>
      </c>
      <c r="G122" s="24">
        <f t="shared" si="9"/>
        <v>90.92696204445788</v>
      </c>
      <c r="H122" s="23">
        <f>SUM(H123:H125)</f>
        <v>4764.8</v>
      </c>
      <c r="I122" s="23">
        <f>SUM(I123:I125)</f>
        <v>4744.7</v>
      </c>
      <c r="J122" s="31">
        <f t="shared" si="13"/>
        <v>99.57815648085962</v>
      </c>
      <c r="K122" s="23">
        <f>SUM(K123:K125)</f>
        <v>6920.8</v>
      </c>
      <c r="L122" s="23">
        <f>SUM(L123:L125)</f>
        <v>6627.5</v>
      </c>
      <c r="M122" s="36">
        <f t="shared" si="17"/>
        <v>95.76205062998497</v>
      </c>
    </row>
    <row r="123" spans="1:13" ht="12.75">
      <c r="A123" s="56" t="s">
        <v>85</v>
      </c>
      <c r="B123" s="26">
        <v>1323.3</v>
      </c>
      <c r="C123" s="26">
        <v>1108.2</v>
      </c>
      <c r="D123" s="27">
        <f t="shared" si="8"/>
        <v>83.74518249829971</v>
      </c>
      <c r="E123" s="26">
        <v>2756.5</v>
      </c>
      <c r="F123" s="26">
        <v>2676.5</v>
      </c>
      <c r="G123" s="27">
        <f t="shared" si="9"/>
        <v>97.09776890984945</v>
      </c>
      <c r="H123" s="26">
        <v>4139.8</v>
      </c>
      <c r="I123" s="38">
        <v>4054.7</v>
      </c>
      <c r="J123" s="28">
        <f t="shared" si="13"/>
        <v>97.94434513744625</v>
      </c>
      <c r="K123" s="26">
        <v>5807.8</v>
      </c>
      <c r="L123" s="30">
        <v>5441</v>
      </c>
      <c r="M123" s="35">
        <f>(L123/K123)*100</f>
        <v>93.68435552188436</v>
      </c>
    </row>
    <row r="124" spans="1:13" ht="12.75">
      <c r="A124" s="56" t="s">
        <v>86</v>
      </c>
      <c r="B124" s="26">
        <v>360</v>
      </c>
      <c r="C124" s="26">
        <v>80</v>
      </c>
      <c r="D124" s="27">
        <f t="shared" si="8"/>
        <v>22.22222222222222</v>
      </c>
      <c r="E124" s="26">
        <v>550</v>
      </c>
      <c r="F124" s="26">
        <v>330</v>
      </c>
      <c r="G124" s="27">
        <f t="shared" si="9"/>
        <v>60</v>
      </c>
      <c r="H124" s="26">
        <v>625</v>
      </c>
      <c r="I124" s="38">
        <v>690</v>
      </c>
      <c r="J124" s="28">
        <f t="shared" si="13"/>
        <v>110.4</v>
      </c>
      <c r="K124" s="26">
        <v>1113</v>
      </c>
      <c r="L124" s="30">
        <v>1186.5</v>
      </c>
      <c r="M124" s="35">
        <f>(L124/K124)*100</f>
        <v>106.60377358490567</v>
      </c>
    </row>
    <row r="125" spans="1:13" ht="12.75" hidden="1">
      <c r="A125" s="56" t="s">
        <v>90</v>
      </c>
      <c r="B125" s="26"/>
      <c r="C125" s="26"/>
      <c r="D125" s="27" t="e">
        <f t="shared" si="8"/>
        <v>#DIV/0!</v>
      </c>
      <c r="E125" s="26"/>
      <c r="F125" s="26"/>
      <c r="G125" s="27" t="e">
        <f t="shared" si="9"/>
        <v>#DIV/0!</v>
      </c>
      <c r="H125" s="26"/>
      <c r="I125" s="26"/>
      <c r="J125" s="26"/>
      <c r="K125" s="26"/>
      <c r="L125" s="30"/>
      <c r="M125" s="35"/>
    </row>
    <row r="126" spans="1:13" ht="25.5">
      <c r="A126" s="57" t="s">
        <v>87</v>
      </c>
      <c r="B126" s="23">
        <f>B127</f>
        <v>131.4</v>
      </c>
      <c r="C126" s="23">
        <f>C127</f>
        <v>26</v>
      </c>
      <c r="D126" s="24">
        <f t="shared" si="8"/>
        <v>19.7869101978691</v>
      </c>
      <c r="E126" s="23">
        <f>E127</f>
        <v>189.3</v>
      </c>
      <c r="F126" s="23">
        <f>F127</f>
        <v>32.4</v>
      </c>
      <c r="G126" s="24">
        <f t="shared" si="9"/>
        <v>17.11568938193344</v>
      </c>
      <c r="H126" s="23">
        <f>H127</f>
        <v>265.6</v>
      </c>
      <c r="I126" s="23">
        <f>I127</f>
        <v>71.4</v>
      </c>
      <c r="J126" s="31">
        <f>I126/H126*100</f>
        <v>26.882530120481928</v>
      </c>
      <c r="K126" s="23">
        <f>K127</f>
        <v>361.4</v>
      </c>
      <c r="L126" s="23">
        <f>L127</f>
        <v>80.3</v>
      </c>
      <c r="M126" s="36">
        <f>L126/K126*100</f>
        <v>22.219147758716105</v>
      </c>
    </row>
    <row r="127" spans="1:13" ht="12.75">
      <c r="A127" s="56" t="s">
        <v>88</v>
      </c>
      <c r="B127" s="26">
        <v>131.4</v>
      </c>
      <c r="C127" s="26">
        <v>26</v>
      </c>
      <c r="D127" s="27">
        <f t="shared" si="8"/>
        <v>19.7869101978691</v>
      </c>
      <c r="E127" s="26">
        <v>189.3</v>
      </c>
      <c r="F127" s="26">
        <v>32.4</v>
      </c>
      <c r="G127" s="27">
        <f t="shared" si="9"/>
        <v>17.11568938193344</v>
      </c>
      <c r="H127" s="26">
        <v>265.6</v>
      </c>
      <c r="I127" s="26">
        <v>71.4</v>
      </c>
      <c r="J127" s="28">
        <f>I127/H127*100</f>
        <v>26.882530120481928</v>
      </c>
      <c r="K127" s="26">
        <v>361.4</v>
      </c>
      <c r="L127" s="30">
        <v>80.3</v>
      </c>
      <c r="M127" s="37">
        <f>L127/K127*100</f>
        <v>22.219147758716105</v>
      </c>
    </row>
    <row r="128" spans="1:13" ht="13.5" thickBot="1">
      <c r="A128" s="59" t="s">
        <v>6</v>
      </c>
      <c r="B128" s="39">
        <f>B53+B62+B64+B70+B81+B86+B91+B98+B102+B111+B117+B122+B126</f>
        <v>343592.89999999997</v>
      </c>
      <c r="C128" s="39">
        <f>C53+C62+C64+C70+C81+C86+C91+C98+C102+C111+C117+C122+C126</f>
        <v>321645.2</v>
      </c>
      <c r="D128" s="40">
        <f t="shared" si="8"/>
        <v>93.61229524824292</v>
      </c>
      <c r="E128" s="39">
        <f>E53+E62+E64+E70+E81+E86+E91+E98+E102+E111+E117+E122+E126</f>
        <v>765370.4000000001</v>
      </c>
      <c r="F128" s="39">
        <f>F53+F62+F64+F70+F81+F86+F91+F98+F102+F111+F117+F122+F126</f>
        <v>696016.3</v>
      </c>
      <c r="G128" s="40">
        <f t="shared" si="9"/>
        <v>90.93849200334895</v>
      </c>
      <c r="H128" s="39">
        <f>H53+H62+H64+H70+H81+H86+H91+H98+H102+H111+H117+H122+H126</f>
        <v>1125059.0000000002</v>
      </c>
      <c r="I128" s="39">
        <f>I53+I62+I64+I70+I81+I86+I91+I98+I102+I111+I117+I122+I126</f>
        <v>1029609</v>
      </c>
      <c r="J128" s="41">
        <f>(I128/H128)*100</f>
        <v>91.51600049419628</v>
      </c>
      <c r="K128" s="39">
        <f>K53+K62+K64+K70+K81+K86+K91+K98+K102+K111+K117+K122+K126</f>
        <v>1649135.0999999996</v>
      </c>
      <c r="L128" s="39">
        <f>L53+L62+L64+L70+L81+L86+L91+L98+L102+L111+L117+L122+L126</f>
        <v>1411246.0000000002</v>
      </c>
      <c r="M128" s="42">
        <f>(L128/K128)*100</f>
        <v>85.57491742186559</v>
      </c>
    </row>
    <row r="129" spans="1:13" ht="13.5" thickBot="1">
      <c r="A129" s="60" t="s">
        <v>22</v>
      </c>
      <c r="B129" s="43">
        <f>B51-B128</f>
        <v>1205.7000000000698</v>
      </c>
      <c r="C129" s="44">
        <f>C51-C128</f>
        <v>-48724.30000000005</v>
      </c>
      <c r="D129" s="45"/>
      <c r="E129" s="44">
        <f>E51-E128</f>
        <v>-44367.30000000005</v>
      </c>
      <c r="F129" s="43">
        <f>F51-F128</f>
        <v>-52384.40000000002</v>
      </c>
      <c r="G129" s="46"/>
      <c r="H129" s="43">
        <f>H51-H128</f>
        <v>-116014.40000000026</v>
      </c>
      <c r="I129" s="44">
        <f>I51-I128</f>
        <v>-39533.09999999998</v>
      </c>
      <c r="J129" s="47"/>
      <c r="K129" s="44">
        <f>K51-K128</f>
        <v>3918.200000000419</v>
      </c>
      <c r="L129" s="43">
        <f>L51-L128</f>
        <v>-63750.50000000023</v>
      </c>
      <c r="M129" s="48"/>
    </row>
    <row r="130" spans="2:13" ht="12.75">
      <c r="B130" s="21"/>
      <c r="C130" s="21"/>
      <c r="D130" s="21"/>
      <c r="I130" s="16"/>
      <c r="J130" s="16"/>
      <c r="K130" s="16"/>
      <c r="L130" s="22"/>
      <c r="M130" s="22"/>
    </row>
    <row r="131" spans="2:4" ht="12.75">
      <c r="B131" s="21"/>
      <c r="C131" s="21"/>
      <c r="D131" s="21"/>
    </row>
    <row r="132" spans="2:4" ht="12.75">
      <c r="B132" s="21"/>
      <c r="C132" s="21"/>
      <c r="D132" s="21"/>
    </row>
    <row r="133" spans="2:4" ht="12.75">
      <c r="B133" s="21"/>
      <c r="C133" s="21"/>
      <c r="D133" s="21"/>
    </row>
    <row r="134" spans="2:4" ht="12.75">
      <c r="B134" s="21"/>
      <c r="C134" s="21"/>
      <c r="D134" s="21"/>
    </row>
    <row r="135" spans="2:4" ht="12.75">
      <c r="B135" s="21"/>
      <c r="C135" s="21"/>
      <c r="D135" s="21"/>
    </row>
    <row r="136" spans="2:4" ht="12.75">
      <c r="B136" s="21"/>
      <c r="C136" s="21"/>
      <c r="D136" s="21"/>
    </row>
    <row r="137" spans="2:4" ht="12.75">
      <c r="B137" s="21"/>
      <c r="C137" s="21"/>
      <c r="D137" s="21"/>
    </row>
    <row r="138" spans="2:4" ht="12.75">
      <c r="B138" s="21"/>
      <c r="C138" s="21"/>
      <c r="D138" s="21"/>
    </row>
    <row r="139" spans="2:4" ht="12.75">
      <c r="B139" s="21"/>
      <c r="C139" s="21"/>
      <c r="D139" s="21"/>
    </row>
    <row r="140" spans="2:4" ht="12.75">
      <c r="B140" s="21"/>
      <c r="C140" s="21"/>
      <c r="D140" s="21"/>
    </row>
    <row r="141" spans="2:4" ht="12.75">
      <c r="B141" s="21"/>
      <c r="C141" s="21"/>
      <c r="D141" s="21"/>
    </row>
    <row r="142" spans="2:4" ht="12.75">
      <c r="B142" s="21"/>
      <c r="C142" s="21"/>
      <c r="D142" s="21"/>
    </row>
    <row r="143" spans="2:4" ht="12.75">
      <c r="B143" s="21"/>
      <c r="C143" s="21"/>
      <c r="D143" s="21"/>
    </row>
    <row r="144" spans="2:4" ht="12.75">
      <c r="B144" s="21"/>
      <c r="C144" s="21"/>
      <c r="D144" s="21"/>
    </row>
    <row r="145" spans="2:4" ht="12.75">
      <c r="B145" s="21"/>
      <c r="C145" s="21"/>
      <c r="D145" s="21"/>
    </row>
    <row r="146" spans="2:4" ht="12.75">
      <c r="B146" s="21"/>
      <c r="C146" s="21"/>
      <c r="D146" s="21"/>
    </row>
    <row r="147" spans="2:4" ht="12.75">
      <c r="B147" s="21"/>
      <c r="C147" s="21"/>
      <c r="D147" s="21"/>
    </row>
    <row r="148" spans="2:4" ht="12.75">
      <c r="B148" s="21"/>
      <c r="C148" s="21"/>
      <c r="D148" s="21"/>
    </row>
    <row r="149" spans="2:4" ht="12.75">
      <c r="B149" s="21"/>
      <c r="C149" s="21"/>
      <c r="D149" s="21"/>
    </row>
    <row r="150" spans="2:4" ht="12.75">
      <c r="B150" s="21"/>
      <c r="C150" s="21"/>
      <c r="D150" s="21"/>
    </row>
    <row r="151" spans="2:4" ht="12.75">
      <c r="B151" s="21"/>
      <c r="C151" s="21"/>
      <c r="D151" s="21"/>
    </row>
    <row r="152" spans="2:4" ht="12.75">
      <c r="B152" s="21"/>
      <c r="C152" s="21"/>
      <c r="D152" s="21"/>
    </row>
    <row r="153" spans="2:4" ht="12.75">
      <c r="B153" s="21"/>
      <c r="C153" s="21"/>
      <c r="D153" s="21"/>
    </row>
    <row r="154" spans="2:4" ht="12.75">
      <c r="B154" s="21"/>
      <c r="C154" s="21"/>
      <c r="D154" s="21"/>
    </row>
    <row r="155" spans="2:4" ht="12.75">
      <c r="B155" s="21"/>
      <c r="C155" s="21"/>
      <c r="D155" s="21"/>
    </row>
    <row r="156" spans="2:4" ht="12.75">
      <c r="B156" s="21"/>
      <c r="C156" s="21"/>
      <c r="D156" s="21"/>
    </row>
    <row r="157" spans="2:4" ht="12.75">
      <c r="B157" s="21"/>
      <c r="C157" s="21"/>
      <c r="D157" s="21"/>
    </row>
    <row r="158" spans="2:4" ht="12.75">
      <c r="B158" s="21"/>
      <c r="C158" s="21"/>
      <c r="D158" s="21"/>
    </row>
    <row r="159" spans="2:4" ht="12.75">
      <c r="B159" s="21"/>
      <c r="C159" s="21"/>
      <c r="D159" s="21"/>
    </row>
    <row r="160" spans="2:4" ht="12.75">
      <c r="B160" s="21"/>
      <c r="C160" s="21"/>
      <c r="D160" s="21"/>
    </row>
    <row r="161" spans="2:4" ht="12.75">
      <c r="B161" s="21"/>
      <c r="C161" s="21"/>
      <c r="D161" s="21"/>
    </row>
    <row r="162" spans="2:4" ht="12.75">
      <c r="B162" s="21"/>
      <c r="C162" s="21"/>
      <c r="D162" s="21"/>
    </row>
    <row r="163" spans="2:4" ht="12.75">
      <c r="B163" s="21"/>
      <c r="C163" s="21"/>
      <c r="D163" s="21"/>
    </row>
    <row r="164" spans="2:4" ht="12.75">
      <c r="B164" s="21"/>
      <c r="C164" s="21"/>
      <c r="D164" s="21"/>
    </row>
    <row r="165" spans="2:4" ht="12.75">
      <c r="B165" s="21"/>
      <c r="C165" s="21"/>
      <c r="D165" s="21"/>
    </row>
    <row r="166" spans="2:4" ht="12.75">
      <c r="B166" s="21"/>
      <c r="C166" s="21"/>
      <c r="D166" s="21"/>
    </row>
    <row r="167" spans="2:4" ht="12.75">
      <c r="B167" s="21"/>
      <c r="C167" s="21"/>
      <c r="D167" s="21"/>
    </row>
    <row r="168" spans="2:4" ht="12.75">
      <c r="B168" s="21"/>
      <c r="C168" s="21"/>
      <c r="D168" s="21"/>
    </row>
    <row r="169" spans="2:4" ht="12.75">
      <c r="B169" s="21"/>
      <c r="C169" s="21"/>
      <c r="D169" s="21"/>
    </row>
    <row r="170" spans="2:4" ht="12.75">
      <c r="B170" s="21"/>
      <c r="C170" s="21"/>
      <c r="D170" s="21"/>
    </row>
    <row r="171" spans="2:4" ht="12.75">
      <c r="B171" s="21"/>
      <c r="C171" s="21"/>
      <c r="D171" s="21"/>
    </row>
    <row r="172" spans="2:4" ht="12.75">
      <c r="B172" s="21"/>
      <c r="C172" s="21"/>
      <c r="D172" s="21"/>
    </row>
    <row r="173" spans="2:4" ht="12.75">
      <c r="B173" s="21"/>
      <c r="C173" s="21"/>
      <c r="D173" s="21"/>
    </row>
    <row r="174" spans="2:4" ht="12.75">
      <c r="B174" s="21"/>
      <c r="C174" s="21"/>
      <c r="D174" s="21"/>
    </row>
    <row r="175" spans="2:4" ht="12.75">
      <c r="B175" s="21"/>
      <c r="C175" s="21"/>
      <c r="D175" s="21"/>
    </row>
    <row r="176" spans="2:4" ht="12.75">
      <c r="B176" s="21"/>
      <c r="C176" s="21"/>
      <c r="D176" s="21"/>
    </row>
    <row r="177" spans="2:4" ht="12.75">
      <c r="B177" s="21"/>
      <c r="C177" s="21"/>
      <c r="D177" s="21"/>
    </row>
    <row r="178" spans="2:4" ht="12.75">
      <c r="B178" s="21"/>
      <c r="C178" s="21"/>
      <c r="D178" s="21"/>
    </row>
    <row r="179" spans="2:4" ht="12.75">
      <c r="B179" s="21"/>
      <c r="C179" s="21"/>
      <c r="D179" s="21"/>
    </row>
    <row r="180" spans="2:4" ht="12.75">
      <c r="B180" s="21"/>
      <c r="C180" s="21"/>
      <c r="D180" s="21"/>
    </row>
    <row r="181" spans="2:4" ht="12.75">
      <c r="B181" s="21"/>
      <c r="C181" s="21"/>
      <c r="D181" s="21"/>
    </row>
    <row r="182" spans="2:4" ht="12.75">
      <c r="B182" s="21"/>
      <c r="C182" s="21"/>
      <c r="D182" s="21"/>
    </row>
    <row r="183" spans="2:4" ht="12.75">
      <c r="B183" s="21"/>
      <c r="C183" s="21"/>
      <c r="D183" s="21"/>
    </row>
    <row r="184" spans="2:4" ht="12.75">
      <c r="B184" s="21"/>
      <c r="C184" s="21"/>
      <c r="D184" s="21"/>
    </row>
    <row r="185" spans="2:4" ht="12.75">
      <c r="B185" s="21"/>
      <c r="C185" s="21"/>
      <c r="D185" s="21"/>
    </row>
    <row r="186" spans="2:4" ht="12.75">
      <c r="B186" s="21"/>
      <c r="C186" s="21"/>
      <c r="D186" s="21"/>
    </row>
    <row r="187" spans="2:4" ht="12.75">
      <c r="B187" s="21"/>
      <c r="C187" s="21"/>
      <c r="D187" s="21"/>
    </row>
    <row r="188" spans="2:4" ht="12.75">
      <c r="B188" s="21"/>
      <c r="C188" s="21"/>
      <c r="D188" s="21"/>
    </row>
    <row r="189" spans="2:4" ht="12.75">
      <c r="B189" s="21"/>
      <c r="C189" s="21"/>
      <c r="D189" s="21"/>
    </row>
    <row r="190" spans="2:4" ht="12.75">
      <c r="B190" s="21"/>
      <c r="C190" s="21"/>
      <c r="D190" s="21"/>
    </row>
    <row r="191" spans="2:4" ht="12.75">
      <c r="B191" s="21"/>
      <c r="C191" s="21"/>
      <c r="D191" s="21"/>
    </row>
    <row r="192" spans="2:4" ht="12.75">
      <c r="B192" s="21"/>
      <c r="C192" s="21"/>
      <c r="D192" s="21"/>
    </row>
    <row r="193" spans="2:4" ht="12.75">
      <c r="B193" s="21"/>
      <c r="C193" s="21"/>
      <c r="D193" s="21"/>
    </row>
    <row r="194" spans="2:4" ht="12.75">
      <c r="B194" s="21"/>
      <c r="C194" s="21"/>
      <c r="D194" s="21"/>
    </row>
    <row r="195" spans="2:4" ht="12.75">
      <c r="B195" s="21"/>
      <c r="C195" s="21"/>
      <c r="D195" s="21"/>
    </row>
    <row r="196" spans="2:4" ht="12.75">
      <c r="B196" s="21"/>
      <c r="C196" s="21"/>
      <c r="D196" s="21"/>
    </row>
    <row r="197" spans="2:4" ht="12.75">
      <c r="B197" s="21"/>
      <c r="C197" s="21"/>
      <c r="D197" s="21"/>
    </row>
    <row r="198" spans="2:4" ht="12.75">
      <c r="B198" s="21"/>
      <c r="C198" s="21"/>
      <c r="D198" s="21"/>
    </row>
    <row r="199" spans="2:4" ht="12.75">
      <c r="B199" s="21"/>
      <c r="C199" s="21"/>
      <c r="D199" s="21"/>
    </row>
    <row r="200" spans="2:4" ht="12.75">
      <c r="B200" s="21"/>
      <c r="C200" s="21"/>
      <c r="D200" s="21"/>
    </row>
    <row r="201" spans="2:4" ht="12.75">
      <c r="B201" s="21"/>
      <c r="C201" s="21"/>
      <c r="D201" s="21"/>
    </row>
    <row r="202" spans="2:4" ht="12.75">
      <c r="B202" s="21"/>
      <c r="C202" s="21"/>
      <c r="D202" s="21"/>
    </row>
    <row r="203" spans="2:4" ht="12.75">
      <c r="B203" s="21"/>
      <c r="C203" s="21"/>
      <c r="D203" s="21"/>
    </row>
    <row r="204" spans="2:4" ht="12.75">
      <c r="B204" s="21"/>
      <c r="C204" s="21"/>
      <c r="D204" s="21"/>
    </row>
    <row r="205" spans="2:4" ht="12.75">
      <c r="B205" s="21"/>
      <c r="C205" s="21"/>
      <c r="D205" s="21"/>
    </row>
    <row r="206" spans="2:4" ht="12.75">
      <c r="B206" s="21"/>
      <c r="C206" s="21"/>
      <c r="D206" s="21"/>
    </row>
    <row r="207" spans="2:4" ht="12.75">
      <c r="B207" s="21"/>
      <c r="C207" s="21"/>
      <c r="D207" s="21"/>
    </row>
    <row r="208" spans="2:4" ht="12.75">
      <c r="B208" s="21"/>
      <c r="C208" s="21"/>
      <c r="D208" s="21"/>
    </row>
    <row r="209" spans="2:4" ht="12.75">
      <c r="B209" s="21"/>
      <c r="C209" s="21"/>
      <c r="D209" s="21"/>
    </row>
    <row r="210" spans="2:4" ht="12.75">
      <c r="B210" s="21"/>
      <c r="C210" s="21"/>
      <c r="D210" s="21"/>
    </row>
    <row r="211" spans="2:4" ht="12.75">
      <c r="B211" s="21"/>
      <c r="C211" s="21"/>
      <c r="D211" s="21"/>
    </row>
    <row r="212" spans="2:4" ht="12.75">
      <c r="B212" s="21"/>
      <c r="C212" s="21"/>
      <c r="D212" s="21"/>
    </row>
    <row r="213" spans="2:4" ht="12.75">
      <c r="B213" s="21"/>
      <c r="C213" s="21"/>
      <c r="D213" s="21"/>
    </row>
    <row r="214" spans="2:4" ht="12.75">
      <c r="B214" s="21"/>
      <c r="C214" s="21"/>
      <c r="D214" s="21"/>
    </row>
    <row r="215" spans="2:4" ht="12.75">
      <c r="B215" s="21"/>
      <c r="C215" s="21"/>
      <c r="D215" s="21"/>
    </row>
    <row r="216" spans="2:4" ht="12.75">
      <c r="B216" s="21"/>
      <c r="C216" s="21"/>
      <c r="D216" s="21"/>
    </row>
    <row r="217" spans="2:4" ht="12.75">
      <c r="B217" s="21"/>
      <c r="C217" s="21"/>
      <c r="D217" s="21"/>
    </row>
    <row r="218" spans="2:4" ht="12.75">
      <c r="B218" s="21"/>
      <c r="C218" s="21"/>
      <c r="D218" s="21"/>
    </row>
    <row r="219" spans="2:4" ht="12.75">
      <c r="B219" s="21"/>
      <c r="C219" s="21"/>
      <c r="D219" s="21"/>
    </row>
    <row r="220" spans="2:4" ht="12.75">
      <c r="B220" s="21"/>
      <c r="C220" s="21"/>
      <c r="D220" s="21"/>
    </row>
    <row r="221" spans="2:4" ht="12.75">
      <c r="B221" s="21"/>
      <c r="C221" s="21"/>
      <c r="D221" s="21"/>
    </row>
    <row r="222" spans="2:4" ht="12.75">
      <c r="B222" s="21"/>
      <c r="C222" s="21"/>
      <c r="D222" s="21"/>
    </row>
    <row r="223" spans="2:4" ht="12.75">
      <c r="B223" s="21"/>
      <c r="C223" s="21"/>
      <c r="D223" s="21"/>
    </row>
    <row r="224" spans="2:4" ht="12.75">
      <c r="B224" s="21"/>
      <c r="C224" s="21"/>
      <c r="D224" s="21"/>
    </row>
    <row r="225" spans="2:4" ht="12.75">
      <c r="B225" s="21"/>
      <c r="C225" s="21"/>
      <c r="D225" s="21"/>
    </row>
    <row r="226" spans="2:4" ht="12.75">
      <c r="B226" s="21"/>
      <c r="C226" s="21"/>
      <c r="D226" s="21"/>
    </row>
    <row r="227" spans="2:4" ht="12.75">
      <c r="B227" s="21"/>
      <c r="C227" s="21"/>
      <c r="D227" s="21"/>
    </row>
    <row r="228" spans="2:4" ht="12.75">
      <c r="B228" s="21"/>
      <c r="C228" s="21"/>
      <c r="D228" s="21"/>
    </row>
    <row r="229" spans="2:4" ht="12.75">
      <c r="B229" s="21"/>
      <c r="C229" s="21"/>
      <c r="D229" s="21"/>
    </row>
    <row r="230" spans="2:4" ht="12.75">
      <c r="B230" s="21"/>
      <c r="C230" s="21"/>
      <c r="D230" s="21"/>
    </row>
    <row r="231" spans="2:4" ht="12.75">
      <c r="B231" s="21"/>
      <c r="C231" s="21"/>
      <c r="D231" s="21"/>
    </row>
    <row r="232" spans="2:4" ht="12.75">
      <c r="B232" s="21"/>
      <c r="C232" s="21"/>
      <c r="D232" s="21"/>
    </row>
    <row r="233" spans="2:4" ht="12.75">
      <c r="B233" s="21"/>
      <c r="C233" s="21"/>
      <c r="D233" s="21"/>
    </row>
    <row r="234" spans="2:4" ht="12.75">
      <c r="B234" s="21"/>
      <c r="C234" s="21"/>
      <c r="D234" s="21"/>
    </row>
    <row r="235" spans="2:4" ht="12.75">
      <c r="B235" s="21"/>
      <c r="C235" s="21"/>
      <c r="D235" s="21"/>
    </row>
    <row r="236" spans="2:4" ht="12.75">
      <c r="B236" s="21"/>
      <c r="C236" s="21"/>
      <c r="D236" s="21"/>
    </row>
    <row r="237" spans="2:4" ht="12.75">
      <c r="B237" s="21"/>
      <c r="C237" s="21"/>
      <c r="D237" s="21"/>
    </row>
    <row r="238" spans="2:4" ht="12.75">
      <c r="B238" s="21"/>
      <c r="C238" s="21"/>
      <c r="D238" s="21"/>
    </row>
    <row r="239" spans="2:4" ht="12.75">
      <c r="B239" s="21"/>
      <c r="C239" s="21"/>
      <c r="D239" s="21"/>
    </row>
    <row r="240" spans="2:4" ht="12.75">
      <c r="B240" s="21"/>
      <c r="C240" s="21"/>
      <c r="D240" s="21"/>
    </row>
    <row r="241" spans="2:4" ht="12.75">
      <c r="B241" s="21"/>
      <c r="C241" s="21"/>
      <c r="D241" s="21"/>
    </row>
    <row r="242" spans="2:4" ht="12.75">
      <c r="B242" s="21"/>
      <c r="C242" s="21"/>
      <c r="D242" s="21"/>
    </row>
    <row r="243" spans="2:4" ht="12.75">
      <c r="B243" s="21"/>
      <c r="C243" s="21"/>
      <c r="D243" s="21"/>
    </row>
    <row r="244" spans="2:4" ht="12.75">
      <c r="B244" s="21"/>
      <c r="C244" s="21"/>
      <c r="D244" s="21"/>
    </row>
    <row r="245" spans="2:4" ht="12.75">
      <c r="B245" s="21"/>
      <c r="C245" s="21"/>
      <c r="D245" s="21"/>
    </row>
    <row r="246" spans="2:4" ht="12.75">
      <c r="B246" s="21"/>
      <c r="C246" s="21"/>
      <c r="D246" s="21"/>
    </row>
    <row r="247" spans="2:4" ht="12.75">
      <c r="B247" s="21"/>
      <c r="C247" s="21"/>
      <c r="D247" s="21"/>
    </row>
    <row r="248" spans="2:4" ht="12.75">
      <c r="B248" s="21"/>
      <c r="C248" s="21"/>
      <c r="D248" s="21"/>
    </row>
    <row r="249" spans="2:4" ht="12.75">
      <c r="B249" s="21"/>
      <c r="C249" s="21"/>
      <c r="D249" s="21"/>
    </row>
    <row r="250" spans="2:4" ht="12.75">
      <c r="B250" s="21"/>
      <c r="C250" s="21"/>
      <c r="D250" s="21"/>
    </row>
    <row r="251" spans="2:4" ht="12.75">
      <c r="B251" s="21"/>
      <c r="C251" s="21"/>
      <c r="D251" s="21"/>
    </row>
    <row r="252" spans="2:4" ht="12.75">
      <c r="B252" s="21"/>
      <c r="C252" s="21"/>
      <c r="D252" s="21"/>
    </row>
    <row r="253" spans="2:4" ht="12.75">
      <c r="B253" s="21"/>
      <c r="C253" s="21"/>
      <c r="D253" s="21"/>
    </row>
    <row r="254" spans="2:4" ht="12.75">
      <c r="B254" s="21"/>
      <c r="C254" s="21"/>
      <c r="D254" s="21"/>
    </row>
    <row r="255" spans="2:4" ht="12.75">
      <c r="B255" s="21"/>
      <c r="C255" s="21"/>
      <c r="D255" s="21"/>
    </row>
    <row r="256" spans="2:4" ht="12.75">
      <c r="B256" s="21"/>
      <c r="C256" s="21"/>
      <c r="D256" s="21"/>
    </row>
    <row r="257" spans="2:4" ht="12.75">
      <c r="B257" s="21"/>
      <c r="C257" s="21"/>
      <c r="D257" s="21"/>
    </row>
    <row r="258" spans="2:4" ht="12.75">
      <c r="B258" s="21"/>
      <c r="C258" s="21"/>
      <c r="D258" s="21"/>
    </row>
    <row r="259" spans="2:4" ht="12.75">
      <c r="B259" s="21"/>
      <c r="C259" s="21"/>
      <c r="D259" s="21"/>
    </row>
    <row r="260" spans="2:4" ht="12.75">
      <c r="B260" s="21"/>
      <c r="C260" s="21"/>
      <c r="D260" s="21"/>
    </row>
    <row r="261" spans="2:4" ht="12.75">
      <c r="B261" s="21"/>
      <c r="C261" s="21"/>
      <c r="D261" s="21"/>
    </row>
    <row r="262" spans="2:4" ht="12.75">
      <c r="B262" s="21"/>
      <c r="C262" s="21"/>
      <c r="D262" s="21"/>
    </row>
    <row r="263" spans="2:4" ht="12.75">
      <c r="B263" s="21"/>
      <c r="C263" s="21"/>
      <c r="D263" s="21"/>
    </row>
    <row r="264" spans="2:4" ht="12.75">
      <c r="B264" s="21"/>
      <c r="C264" s="21"/>
      <c r="D264" s="21"/>
    </row>
    <row r="265" spans="2:4" ht="12.75">
      <c r="B265" s="21"/>
      <c r="C265" s="21"/>
      <c r="D265" s="21"/>
    </row>
    <row r="266" spans="2:4" ht="12.75">
      <c r="B266" s="21"/>
      <c r="C266" s="21"/>
      <c r="D266" s="21"/>
    </row>
    <row r="267" spans="2:4" ht="12.75">
      <c r="B267" s="21"/>
      <c r="C267" s="21"/>
      <c r="D267" s="21"/>
    </row>
    <row r="268" spans="2:4" ht="12.75">
      <c r="B268" s="21"/>
      <c r="C268" s="21"/>
      <c r="D268" s="21"/>
    </row>
    <row r="269" spans="2:4" ht="12.75">
      <c r="B269" s="21"/>
      <c r="C269" s="21"/>
      <c r="D269" s="21"/>
    </row>
    <row r="270" spans="2:4" ht="12.75">
      <c r="B270" s="21"/>
      <c r="C270" s="21"/>
      <c r="D270" s="21"/>
    </row>
    <row r="271" spans="2:4" ht="12.75">
      <c r="B271" s="21"/>
      <c r="C271" s="21"/>
      <c r="D271" s="21"/>
    </row>
    <row r="272" spans="2:4" ht="12.75">
      <c r="B272" s="21"/>
      <c r="C272" s="21"/>
      <c r="D272" s="21"/>
    </row>
    <row r="273" spans="2:4" ht="12.75">
      <c r="B273" s="21"/>
      <c r="C273" s="21"/>
      <c r="D273" s="21"/>
    </row>
    <row r="274" spans="2:4" ht="12.75">
      <c r="B274" s="21"/>
      <c r="C274" s="21"/>
      <c r="D274" s="21"/>
    </row>
    <row r="275" spans="2:4" ht="12.75">
      <c r="B275" s="21"/>
      <c r="C275" s="21"/>
      <c r="D275" s="21"/>
    </row>
    <row r="276" spans="2:4" ht="12.75">
      <c r="B276" s="21"/>
      <c r="C276" s="21"/>
      <c r="D276" s="21"/>
    </row>
    <row r="277" spans="2:4" ht="12.75">
      <c r="B277" s="21"/>
      <c r="C277" s="21"/>
      <c r="D277" s="21"/>
    </row>
    <row r="278" spans="2:4" ht="12.75">
      <c r="B278" s="21"/>
      <c r="C278" s="21"/>
      <c r="D278" s="21"/>
    </row>
    <row r="279" spans="2:4" ht="12.75">
      <c r="B279" s="21"/>
      <c r="C279" s="21"/>
      <c r="D279" s="21"/>
    </row>
    <row r="280" spans="2:4" ht="12.75">
      <c r="B280" s="21"/>
      <c r="C280" s="21"/>
      <c r="D280" s="21"/>
    </row>
    <row r="281" spans="2:4" ht="12.75">
      <c r="B281" s="21"/>
      <c r="C281" s="21"/>
      <c r="D281" s="21"/>
    </row>
    <row r="282" spans="2:4" ht="12.75">
      <c r="B282" s="21"/>
      <c r="C282" s="21"/>
      <c r="D282" s="21"/>
    </row>
    <row r="283" spans="2:4" ht="12.75">
      <c r="B283" s="21"/>
      <c r="C283" s="21"/>
      <c r="D283" s="21"/>
    </row>
    <row r="284" spans="2:4" ht="12.75">
      <c r="B284" s="21"/>
      <c r="C284" s="21"/>
      <c r="D284" s="21"/>
    </row>
    <row r="285" spans="2:4" ht="12.75">
      <c r="B285" s="21"/>
      <c r="C285" s="21"/>
      <c r="D285" s="21"/>
    </row>
    <row r="286" spans="2:4" ht="12.75">
      <c r="B286" s="21"/>
      <c r="C286" s="21"/>
      <c r="D286" s="21"/>
    </row>
    <row r="287" spans="2:4" ht="12.75">
      <c r="B287" s="21"/>
      <c r="C287" s="21"/>
      <c r="D287" s="21"/>
    </row>
    <row r="288" spans="2:4" ht="12.75">
      <c r="B288" s="21"/>
      <c r="C288" s="21"/>
      <c r="D288" s="21"/>
    </row>
    <row r="289" spans="2:4" ht="12.75">
      <c r="B289" s="21"/>
      <c r="C289" s="21"/>
      <c r="D289" s="21"/>
    </row>
    <row r="290" spans="2:4" ht="12.75">
      <c r="B290" s="21"/>
      <c r="C290" s="21"/>
      <c r="D290" s="21"/>
    </row>
    <row r="291" spans="2:4" ht="12.75">
      <c r="B291" s="21"/>
      <c r="C291" s="21"/>
      <c r="D291" s="21"/>
    </row>
    <row r="292" spans="2:4" ht="12.75">
      <c r="B292" s="21"/>
      <c r="C292" s="21"/>
      <c r="D292" s="21"/>
    </row>
    <row r="293" spans="2:4" ht="12.75">
      <c r="B293" s="21"/>
      <c r="C293" s="21"/>
      <c r="D293" s="21"/>
    </row>
    <row r="294" spans="2:4" ht="12.75">
      <c r="B294" s="21"/>
      <c r="C294" s="21"/>
      <c r="D294" s="21"/>
    </row>
    <row r="295" spans="2:4" ht="12.75">
      <c r="B295" s="21"/>
      <c r="C295" s="21"/>
      <c r="D295" s="21"/>
    </row>
    <row r="296" spans="2:4" ht="12.75">
      <c r="B296" s="21"/>
      <c r="C296" s="21"/>
      <c r="D296" s="21"/>
    </row>
    <row r="297" spans="2:4" ht="12.75">
      <c r="B297" s="21"/>
      <c r="C297" s="21"/>
      <c r="D297" s="21"/>
    </row>
    <row r="298" spans="2:4" ht="12.75">
      <c r="B298" s="21"/>
      <c r="C298" s="21"/>
      <c r="D298" s="21"/>
    </row>
    <row r="299" spans="2:4" ht="12.75">
      <c r="B299" s="21"/>
      <c r="C299" s="21"/>
      <c r="D299" s="21"/>
    </row>
    <row r="300" spans="2:4" ht="12.75">
      <c r="B300" s="21"/>
      <c r="C300" s="21"/>
      <c r="D300" s="21"/>
    </row>
    <row r="301" spans="2:4" ht="12.75">
      <c r="B301" s="21"/>
      <c r="C301" s="21"/>
      <c r="D301" s="21"/>
    </row>
    <row r="302" spans="2:4" ht="12.75">
      <c r="B302" s="21"/>
      <c r="C302" s="21"/>
      <c r="D302" s="21"/>
    </row>
    <row r="303" spans="2:4" ht="12.75">
      <c r="B303" s="21"/>
      <c r="C303" s="21"/>
      <c r="D303" s="21"/>
    </row>
    <row r="304" spans="2:4" ht="12.75">
      <c r="B304" s="21"/>
      <c r="C304" s="21"/>
      <c r="D304" s="21"/>
    </row>
    <row r="305" spans="2:4" ht="12.75">
      <c r="B305" s="21"/>
      <c r="C305" s="21"/>
      <c r="D305" s="21"/>
    </row>
    <row r="306" spans="2:4" ht="12.75">
      <c r="B306" s="21"/>
      <c r="C306" s="21"/>
      <c r="D306" s="21"/>
    </row>
    <row r="307" spans="2:4" ht="12.75">
      <c r="B307" s="21"/>
      <c r="C307" s="21"/>
      <c r="D307" s="21"/>
    </row>
    <row r="308" spans="2:4" ht="12.75">
      <c r="B308" s="21"/>
      <c r="C308" s="21"/>
      <c r="D308" s="21"/>
    </row>
    <row r="309" spans="2:4" ht="12.75">
      <c r="B309" s="21"/>
      <c r="C309" s="21"/>
      <c r="D309" s="21"/>
    </row>
    <row r="310" spans="2:4" ht="12.75">
      <c r="B310" s="21"/>
      <c r="C310" s="21"/>
      <c r="D310" s="21"/>
    </row>
    <row r="311" spans="2:4" ht="12.75">
      <c r="B311" s="21"/>
      <c r="C311" s="21"/>
      <c r="D311" s="21"/>
    </row>
    <row r="312" spans="2:4" ht="12.75">
      <c r="B312" s="21"/>
      <c r="C312" s="21"/>
      <c r="D312" s="21"/>
    </row>
    <row r="313" spans="2:4" ht="12.75">
      <c r="B313" s="21"/>
      <c r="C313" s="21"/>
      <c r="D313" s="21"/>
    </row>
    <row r="314" spans="2:4" ht="12.75">
      <c r="B314" s="21"/>
      <c r="C314" s="21"/>
      <c r="D314" s="21"/>
    </row>
    <row r="315" spans="2:4" ht="12.75">
      <c r="B315" s="21"/>
      <c r="C315" s="21"/>
      <c r="D315" s="21"/>
    </row>
    <row r="316" spans="2:4" ht="12.75">
      <c r="B316" s="21"/>
      <c r="C316" s="21"/>
      <c r="D316" s="21"/>
    </row>
    <row r="317" spans="2:4" ht="12.75">
      <c r="B317" s="21"/>
      <c r="C317" s="21"/>
      <c r="D317" s="21"/>
    </row>
    <row r="318" spans="2:4" ht="12.75">
      <c r="B318" s="21"/>
      <c r="C318" s="21"/>
      <c r="D318" s="21"/>
    </row>
    <row r="319" spans="2:4" ht="12.75">
      <c r="B319" s="21"/>
      <c r="C319" s="21"/>
      <c r="D319" s="21"/>
    </row>
    <row r="320" spans="2:4" ht="12.75">
      <c r="B320" s="21"/>
      <c r="C320" s="21"/>
      <c r="D320" s="21"/>
    </row>
    <row r="321" spans="2:4" ht="12.75">
      <c r="B321" s="21"/>
      <c r="C321" s="21"/>
      <c r="D321" s="21"/>
    </row>
    <row r="322" spans="2:4" ht="12.75">
      <c r="B322" s="21"/>
      <c r="C322" s="21"/>
      <c r="D322" s="21"/>
    </row>
    <row r="323" spans="2:4" ht="12.75">
      <c r="B323" s="21"/>
      <c r="C323" s="21"/>
      <c r="D323" s="21"/>
    </row>
    <row r="324" spans="2:4" ht="12.75">
      <c r="B324" s="21"/>
      <c r="C324" s="21"/>
      <c r="D324" s="21"/>
    </row>
    <row r="325" spans="2:4" ht="12.75">
      <c r="B325" s="21"/>
      <c r="C325" s="21"/>
      <c r="D325" s="21"/>
    </row>
    <row r="326" spans="2:4" ht="12.75">
      <c r="B326" s="21"/>
      <c r="C326" s="21"/>
      <c r="D326" s="21"/>
    </row>
    <row r="327" spans="2:4" ht="12.75">
      <c r="B327" s="21"/>
      <c r="C327" s="21"/>
      <c r="D327" s="21"/>
    </row>
    <row r="328" spans="2:4" ht="12.75">
      <c r="B328" s="21"/>
      <c r="C328" s="21"/>
      <c r="D328" s="21"/>
    </row>
    <row r="329" spans="2:4" ht="12.75">
      <c r="B329" s="21"/>
      <c r="C329" s="21"/>
      <c r="D329" s="21"/>
    </row>
    <row r="330" spans="2:4" ht="12.75">
      <c r="B330" s="21"/>
      <c r="C330" s="21"/>
      <c r="D330" s="21"/>
    </row>
    <row r="331" spans="2:4" ht="12.75">
      <c r="B331" s="21"/>
      <c r="C331" s="21"/>
      <c r="D331" s="21"/>
    </row>
    <row r="332" spans="2:4" ht="12.75">
      <c r="B332" s="21"/>
      <c r="C332" s="21"/>
      <c r="D332" s="21"/>
    </row>
    <row r="333" spans="2:4" ht="12.75">
      <c r="B333" s="21"/>
      <c r="C333" s="21"/>
      <c r="D333" s="21"/>
    </row>
    <row r="334" spans="2:4" ht="12.75">
      <c r="B334" s="21"/>
      <c r="C334" s="21"/>
      <c r="D334" s="21"/>
    </row>
    <row r="335" spans="2:4" ht="12.75">
      <c r="B335" s="21"/>
      <c r="C335" s="21"/>
      <c r="D335" s="21"/>
    </row>
    <row r="336" spans="2:4" ht="12.75">
      <c r="B336" s="21"/>
      <c r="C336" s="21"/>
      <c r="D336" s="21"/>
    </row>
    <row r="337" spans="2:4" ht="12.75">
      <c r="B337" s="21"/>
      <c r="C337" s="21"/>
      <c r="D337" s="21"/>
    </row>
    <row r="338" spans="2:4" ht="12.75">
      <c r="B338" s="21"/>
      <c r="C338" s="21"/>
      <c r="D338" s="21"/>
    </row>
    <row r="339" spans="2:4" ht="12.75">
      <c r="B339" s="21"/>
      <c r="C339" s="21"/>
      <c r="D339" s="21"/>
    </row>
    <row r="340" spans="2:4" ht="12.75">
      <c r="B340" s="21"/>
      <c r="C340" s="21"/>
      <c r="D340" s="21"/>
    </row>
    <row r="341" spans="2:4" ht="12.75">
      <c r="B341" s="21"/>
      <c r="C341" s="21"/>
      <c r="D341" s="21"/>
    </row>
    <row r="342" spans="2:4" ht="12.75">
      <c r="B342" s="21"/>
      <c r="C342" s="21"/>
      <c r="D342" s="21"/>
    </row>
    <row r="343" spans="2:4" ht="12.75">
      <c r="B343" s="21"/>
      <c r="C343" s="21"/>
      <c r="D343" s="21"/>
    </row>
    <row r="344" spans="2:4" ht="12.75">
      <c r="B344" s="21"/>
      <c r="C344" s="21"/>
      <c r="D344" s="21"/>
    </row>
    <row r="345" spans="2:4" ht="12.75">
      <c r="B345" s="21"/>
      <c r="C345" s="21"/>
      <c r="D345" s="21"/>
    </row>
  </sheetData>
  <sheetProtection/>
  <mergeCells count="11">
    <mergeCell ref="A3:I3"/>
    <mergeCell ref="K5:L5"/>
    <mergeCell ref="M5:M6"/>
    <mergeCell ref="H5:I5"/>
    <mergeCell ref="J5:J6"/>
    <mergeCell ref="A1:G1"/>
    <mergeCell ref="G5:G6"/>
    <mergeCell ref="B5:C5"/>
    <mergeCell ref="D5:D6"/>
    <mergeCell ref="E5:F5"/>
    <mergeCell ref="A2:I2"/>
  </mergeCells>
  <printOptions/>
  <pageMargins left="0.984251968503937" right="0.3937007874015748" top="0.1968503937007874" bottom="0.1968503937007874" header="0" footer="0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2017-01-24T09:34:24Z</cp:lastPrinted>
  <dcterms:created xsi:type="dcterms:W3CDTF">1999-05-18T09:48:14Z</dcterms:created>
  <dcterms:modified xsi:type="dcterms:W3CDTF">2017-01-26T08:39:07Z</dcterms:modified>
  <cp:category/>
  <cp:version/>
  <cp:contentType/>
  <cp:contentStatus/>
</cp:coreProperties>
</file>